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SECRETARIA GENERAL NEW\ORGANOS DE GOBIERNO\Ley de Transparencia\Trasparencia 2018\WEB\"/>
    </mc:Choice>
  </mc:AlternateContent>
  <bookViews>
    <workbookView xWindow="0" yWindow="0" windowWidth="20496" windowHeight="7332" tabRatio="916"/>
  </bookViews>
  <sheets>
    <sheet name="1 Evolución %" sheetId="6" r:id="rId1"/>
    <sheet name="2. M_F TOTALES" sheetId="36" r:id="rId2"/>
    <sheet name="3.M_F_CCAA " sheetId="37" r:id="rId3"/>
    <sheet name="3.M_F_CCAA D+T+O" sheetId="26" r:id="rId4"/>
    <sheet name="5.CLUBES" sheetId="4" r:id="rId5"/>
    <sheet name="6.GGEE" sheetId="29" r:id="rId6"/>
  </sheets>
  <calcPr calcId="152511"/>
</workbook>
</file>

<file path=xl/calcChain.xml><?xml version="1.0" encoding="utf-8"?>
<calcChain xmlns="http://schemas.openxmlformats.org/spreadsheetml/2006/main">
  <c r="Y3" i="29" l="1"/>
  <c r="Y4" i="29"/>
  <c r="Y5" i="29"/>
  <c r="Y6" i="29"/>
  <c r="Y7" i="29"/>
  <c r="Y8" i="29"/>
  <c r="Y9" i="29"/>
  <c r="Y10" i="29"/>
  <c r="Y11" i="29"/>
  <c r="Y12" i="29"/>
  <c r="Y13" i="29"/>
  <c r="Y14" i="29"/>
  <c r="Y15" i="29"/>
  <c r="Y16" i="29"/>
  <c r="K22" i="4" l="1"/>
  <c r="AF22" i="37" l="1"/>
  <c r="AE22" i="37"/>
  <c r="AC22" i="37"/>
  <c r="AB22" i="37"/>
  <c r="AA22" i="37"/>
  <c r="Z22" i="37"/>
  <c r="Y22" i="37"/>
  <c r="X22" i="37"/>
  <c r="W22" i="37"/>
  <c r="V22" i="37"/>
  <c r="T22" i="37"/>
  <c r="S22" i="37"/>
  <c r="Q22" i="37"/>
  <c r="P22" i="37"/>
  <c r="N22" i="37"/>
  <c r="M22" i="37"/>
  <c r="K22" i="37"/>
  <c r="J22" i="37"/>
  <c r="AL21" i="37"/>
  <c r="AK21" i="37"/>
  <c r="AM21" i="37" s="1"/>
  <c r="AI21" i="37"/>
  <c r="AH21" i="37"/>
  <c r="AJ21" i="37" s="1"/>
  <c r="AG21" i="37"/>
  <c r="AD21" i="37"/>
  <c r="AL20" i="37"/>
  <c r="AK20" i="37"/>
  <c r="AM20" i="37" s="1"/>
  <c r="AI20" i="37"/>
  <c r="AH20" i="37"/>
  <c r="AG20" i="37"/>
  <c r="AD20" i="37"/>
  <c r="AL19" i="37"/>
  <c r="AK19" i="37"/>
  <c r="AM19" i="37" s="1"/>
  <c r="AI19" i="37"/>
  <c r="AH19" i="37"/>
  <c r="AJ19" i="37" s="1"/>
  <c r="AG19" i="37"/>
  <c r="AD19" i="37"/>
  <c r="AL18" i="37"/>
  <c r="AK18" i="37"/>
  <c r="AM18" i="37" s="1"/>
  <c r="AI18" i="37"/>
  <c r="AH18" i="37"/>
  <c r="AG18" i="37"/>
  <c r="AD18" i="37"/>
  <c r="AL17" i="37"/>
  <c r="AK17" i="37"/>
  <c r="AM17" i="37" s="1"/>
  <c r="AI17" i="37"/>
  <c r="AH17" i="37"/>
  <c r="AJ17" i="37" s="1"/>
  <c r="AG17" i="37"/>
  <c r="AD17" i="37"/>
  <c r="AL16" i="37"/>
  <c r="AK16" i="37"/>
  <c r="AM16" i="37" s="1"/>
  <c r="AI16" i="37"/>
  <c r="AH16" i="37"/>
  <c r="AG16" i="37"/>
  <c r="AD16" i="37"/>
  <c r="AL15" i="37"/>
  <c r="AK15" i="37"/>
  <c r="AM15" i="37" s="1"/>
  <c r="AI15" i="37"/>
  <c r="AH15" i="37"/>
  <c r="AJ15" i="37" s="1"/>
  <c r="AG15" i="37"/>
  <c r="AD15" i="37"/>
  <c r="AL14" i="37"/>
  <c r="AK14" i="37"/>
  <c r="AM14" i="37" s="1"/>
  <c r="AI14" i="37"/>
  <c r="AH14" i="37"/>
  <c r="AG14" i="37"/>
  <c r="AD14" i="37"/>
  <c r="AL13" i="37"/>
  <c r="AK13" i="37"/>
  <c r="AM13" i="37" s="1"/>
  <c r="AI13" i="37"/>
  <c r="AH13" i="37"/>
  <c r="AJ13" i="37" s="1"/>
  <c r="AG13" i="37"/>
  <c r="AL12" i="37"/>
  <c r="AK12" i="37"/>
  <c r="AI12" i="37"/>
  <c r="AH12" i="37"/>
  <c r="AG12" i="37"/>
  <c r="AD12" i="37"/>
  <c r="AL11" i="37"/>
  <c r="AK11" i="37"/>
  <c r="AI11" i="37"/>
  <c r="AH11" i="37"/>
  <c r="AG11" i="37"/>
  <c r="AD11" i="37"/>
  <c r="AL10" i="37"/>
  <c r="AK10" i="37"/>
  <c r="AI10" i="37"/>
  <c r="AH10" i="37"/>
  <c r="AG10" i="37"/>
  <c r="AD10" i="37"/>
  <c r="AL9" i="37"/>
  <c r="AK9" i="37"/>
  <c r="AI9" i="37"/>
  <c r="AH9" i="37"/>
  <c r="AG9" i="37"/>
  <c r="AD9" i="37"/>
  <c r="AL8" i="37"/>
  <c r="AK8" i="37"/>
  <c r="AI8" i="37"/>
  <c r="AH8" i="37"/>
  <c r="AG8" i="37"/>
  <c r="AL7" i="37"/>
  <c r="AK7" i="37"/>
  <c r="AM7" i="37" s="1"/>
  <c r="AI7" i="37"/>
  <c r="AH7" i="37"/>
  <c r="AG7" i="37"/>
  <c r="AD7" i="37"/>
  <c r="AL6" i="37"/>
  <c r="AM6" i="37" s="1"/>
  <c r="AK6" i="37"/>
  <c r="AI6" i="37"/>
  <c r="AH6" i="37"/>
  <c r="AG6" i="37"/>
  <c r="AD6" i="37"/>
  <c r="AL5" i="37"/>
  <c r="AM5" i="37" s="1"/>
  <c r="AK5" i="37"/>
  <c r="AI5" i="37"/>
  <c r="AH5" i="37"/>
  <c r="AG5" i="37"/>
  <c r="AD5" i="37"/>
  <c r="AL4" i="37"/>
  <c r="AK4" i="37"/>
  <c r="AI4" i="37"/>
  <c r="AH4" i="37"/>
  <c r="AG4" i="37"/>
  <c r="AD4" i="37"/>
  <c r="AL3" i="37"/>
  <c r="AK3" i="37"/>
  <c r="AI3" i="37"/>
  <c r="AH3" i="37"/>
  <c r="AG3" i="37"/>
  <c r="AD3" i="37"/>
  <c r="S3" i="36"/>
  <c r="S2" i="36"/>
  <c r="AM9" i="37" l="1"/>
  <c r="AJ10" i="37"/>
  <c r="AM11" i="37"/>
  <c r="AM4" i="37"/>
  <c r="AD22" i="37"/>
  <c r="AL22" i="37"/>
  <c r="AJ5" i="37"/>
  <c r="AJ8" i="37"/>
  <c r="AK22" i="37"/>
  <c r="AG22" i="37"/>
  <c r="AM3" i="37"/>
  <c r="AM8" i="37"/>
  <c r="AM22" i="37" s="1"/>
  <c r="AJ9" i="37"/>
  <c r="AM10" i="37"/>
  <c r="AJ11" i="37"/>
  <c r="AM12" i="37"/>
  <c r="AJ12" i="37"/>
  <c r="AJ6" i="37"/>
  <c r="AH22" i="37"/>
  <c r="AI22" i="37"/>
  <c r="AJ7" i="37"/>
  <c r="AJ4" i="37"/>
  <c r="AJ14" i="37"/>
  <c r="AJ16" i="37"/>
  <c r="AJ18" i="37"/>
  <c r="AJ20" i="37"/>
  <c r="AJ3" i="37"/>
  <c r="AJ22" i="37" l="1"/>
  <c r="Y17" i="29"/>
  <c r="Y18" i="29"/>
  <c r="Y19" i="29"/>
  <c r="Y20" i="29"/>
  <c r="Y21" i="29"/>
  <c r="Y22" i="29"/>
  <c r="X23" i="29"/>
  <c r="W23" i="29"/>
  <c r="Y23" i="29" l="1"/>
  <c r="G24" i="26"/>
  <c r="F24" i="26"/>
  <c r="E24" i="26"/>
  <c r="D24" i="26"/>
  <c r="C24" i="26"/>
  <c r="B24" i="26"/>
  <c r="B25" i="26" s="1"/>
  <c r="H23" i="26"/>
  <c r="H21" i="26"/>
  <c r="H20" i="26"/>
  <c r="H19" i="26"/>
  <c r="H18" i="26"/>
  <c r="H17" i="26"/>
  <c r="H16" i="26"/>
  <c r="H15" i="26"/>
  <c r="H14" i="26"/>
  <c r="H22" i="26"/>
  <c r="H13" i="26"/>
  <c r="H12" i="26"/>
  <c r="H11" i="26"/>
  <c r="H10" i="26"/>
  <c r="H9" i="26"/>
  <c r="H8" i="26"/>
  <c r="H7" i="26"/>
  <c r="H6" i="26"/>
  <c r="H5" i="26"/>
  <c r="D25" i="26" l="1"/>
  <c r="F25" i="26"/>
  <c r="H24" i="26"/>
  <c r="AJ5" i="26" l="1"/>
  <c r="AJ6" i="26"/>
  <c r="AJ7" i="26"/>
  <c r="AJ8" i="26"/>
  <c r="AJ9" i="26"/>
  <c r="AJ10" i="26"/>
  <c r="AJ11" i="26"/>
  <c r="AJ12" i="26"/>
  <c r="AJ13" i="26"/>
  <c r="AJ22" i="26"/>
  <c r="AJ14" i="26"/>
  <c r="AJ15" i="26"/>
  <c r="AJ16" i="26"/>
  <c r="AJ17" i="26"/>
  <c r="AJ18" i="26"/>
  <c r="AJ19" i="26"/>
  <c r="AJ20" i="26"/>
  <c r="AJ21" i="26"/>
  <c r="AJ23" i="26"/>
  <c r="AD24" i="26"/>
  <c r="AE24" i="26"/>
  <c r="AF24" i="26"/>
  <c r="AG24" i="26"/>
  <c r="AH24" i="26"/>
  <c r="AI24" i="26"/>
  <c r="AF25" i="26" l="1"/>
  <c r="AD25" i="26"/>
  <c r="AH25" i="26"/>
  <c r="AJ24" i="26"/>
  <c r="AG33" i="26" l="1"/>
  <c r="S22" i="6" l="1"/>
  <c r="C23" i="29" l="1"/>
  <c r="B22" i="29"/>
  <c r="D22" i="29" s="1"/>
  <c r="D17" i="29"/>
  <c r="D18" i="29"/>
  <c r="D19" i="29"/>
  <c r="D20" i="29"/>
  <c r="D21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H23" i="29"/>
  <c r="I23" i="29"/>
  <c r="F23" i="29"/>
  <c r="E23" i="29"/>
  <c r="J3" i="29"/>
  <c r="J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M3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U23" i="29"/>
  <c r="T23" i="29"/>
  <c r="R23" i="29"/>
  <c r="Q23" i="29"/>
  <c r="O23" i="29"/>
  <c r="N23" i="29"/>
  <c r="L23" i="29"/>
  <c r="K23" i="29"/>
  <c r="V3" i="29"/>
  <c r="V4" i="29"/>
  <c r="V5" i="29"/>
  <c r="V6" i="29"/>
  <c r="V7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S3" i="29"/>
  <c r="S4" i="29"/>
  <c r="S5" i="29"/>
  <c r="S6" i="29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P3" i="29"/>
  <c r="P4" i="29"/>
  <c r="P5" i="29"/>
  <c r="P6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O20" i="26"/>
  <c r="O5" i="26"/>
  <c r="O6" i="26"/>
  <c r="O7" i="26"/>
  <c r="O8" i="26"/>
  <c r="O9" i="26"/>
  <c r="O10" i="26"/>
  <c r="O11" i="26"/>
  <c r="O12" i="26"/>
  <c r="O13" i="26"/>
  <c r="O22" i="26"/>
  <c r="O14" i="26"/>
  <c r="O15" i="26"/>
  <c r="O16" i="26"/>
  <c r="O17" i="26"/>
  <c r="O18" i="26"/>
  <c r="O19" i="26"/>
  <c r="O21" i="26"/>
  <c r="O23" i="26"/>
  <c r="I24" i="26"/>
  <c r="I25" i="26" s="1"/>
  <c r="J24" i="26"/>
  <c r="M24" i="26"/>
  <c r="N24" i="26"/>
  <c r="M25" i="26"/>
  <c r="K24" i="26"/>
  <c r="L24" i="26"/>
  <c r="V5" i="26"/>
  <c r="V6" i="26"/>
  <c r="V7" i="26"/>
  <c r="V8" i="26"/>
  <c r="V9" i="26"/>
  <c r="V10" i="26"/>
  <c r="V11" i="26"/>
  <c r="V12" i="26"/>
  <c r="V13" i="26"/>
  <c r="V22" i="26"/>
  <c r="V14" i="26"/>
  <c r="V15" i="26"/>
  <c r="V16" i="26"/>
  <c r="V17" i="26"/>
  <c r="V18" i="26"/>
  <c r="V19" i="26"/>
  <c r="V20" i="26"/>
  <c r="V21" i="26"/>
  <c r="V23" i="26"/>
  <c r="U24" i="26"/>
  <c r="T24" i="26"/>
  <c r="S24" i="26"/>
  <c r="R24" i="26"/>
  <c r="R25" i="26"/>
  <c r="Q24" i="26"/>
  <c r="P24" i="26"/>
  <c r="P25" i="26" s="1"/>
  <c r="AA24" i="26"/>
  <c r="AB24" i="26"/>
  <c r="Y24" i="26"/>
  <c r="Y25" i="26" s="1"/>
  <c r="Z24" i="26"/>
  <c r="AC6" i="26"/>
  <c r="AC7" i="26"/>
  <c r="AC8" i="26"/>
  <c r="AC9" i="26"/>
  <c r="AC10" i="26"/>
  <c r="AC11" i="26"/>
  <c r="AC12" i="26"/>
  <c r="AC13" i="26"/>
  <c r="AC22" i="26"/>
  <c r="AC14" i="26"/>
  <c r="AC15" i="26"/>
  <c r="AC16" i="26"/>
  <c r="AC17" i="26"/>
  <c r="AC18" i="26"/>
  <c r="AC19" i="26"/>
  <c r="AC20" i="26"/>
  <c r="AC21" i="26"/>
  <c r="AC23" i="26"/>
  <c r="AC5" i="26"/>
  <c r="X24" i="26"/>
  <c r="W24" i="26"/>
  <c r="J22" i="4"/>
  <c r="R22" i="6"/>
  <c r="I22" i="4"/>
  <c r="Q22" i="6"/>
  <c r="P3" i="6"/>
  <c r="P21" i="6"/>
  <c r="P18" i="6"/>
  <c r="P20" i="6"/>
  <c r="P4" i="6"/>
  <c r="D22" i="4"/>
  <c r="C22" i="4"/>
  <c r="B22" i="4"/>
  <c r="H22" i="4"/>
  <c r="E22" i="4"/>
  <c r="F22" i="4"/>
  <c r="G22" i="4"/>
  <c r="O22" i="6"/>
  <c r="N22" i="6"/>
  <c r="B23" i="29" l="1"/>
  <c r="K25" i="26"/>
  <c r="O24" i="26"/>
  <c r="W25" i="26"/>
  <c r="AC24" i="26"/>
  <c r="AA25" i="26"/>
  <c r="T25" i="26"/>
  <c r="V24" i="26"/>
  <c r="P22" i="6"/>
  <c r="M23" i="29"/>
  <c r="V23" i="29"/>
  <c r="S23" i="29"/>
  <c r="J23" i="29"/>
  <c r="G23" i="29"/>
  <c r="P23" i="29"/>
  <c r="D23" i="29"/>
</calcChain>
</file>

<file path=xl/sharedStrings.xml><?xml version="1.0" encoding="utf-8"?>
<sst xmlns="http://schemas.openxmlformats.org/spreadsheetml/2006/main" count="259" uniqueCount="78">
  <si>
    <t>ANDALUCIA</t>
  </si>
  <si>
    <t>ARAGÓN</t>
  </si>
  <si>
    <t>ASTURIAS</t>
  </si>
  <si>
    <t>BALEARES</t>
  </si>
  <si>
    <t>CANARIAS</t>
  </si>
  <si>
    <t>CANTABRIA</t>
  </si>
  <si>
    <t>CAST. LA MANCHA</t>
  </si>
  <si>
    <t>CAST. LEÓN</t>
  </si>
  <si>
    <t>CATALUÑA</t>
  </si>
  <si>
    <t>EUSKADI</t>
  </si>
  <si>
    <t>EXTREMADURA</t>
  </si>
  <si>
    <t>GALICIA</t>
  </si>
  <si>
    <t>MADRID</t>
  </si>
  <si>
    <t>MURCIA</t>
  </si>
  <si>
    <t>NAVARRA</t>
  </si>
  <si>
    <t>RIOJA</t>
  </si>
  <si>
    <t>VALENCIA</t>
  </si>
  <si>
    <t>CEUTA</t>
  </si>
  <si>
    <t>MELILLA</t>
  </si>
  <si>
    <t xml:space="preserve"> 2006</t>
  </si>
  <si>
    <t>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</si>
  <si>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</si>
  <si>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</si>
  <si>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</si>
  <si>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</si>
  <si>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</si>
  <si>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>ARAGON</t>
  </si>
  <si>
    <t>CASTILLA-LA MANCHA</t>
  </si>
  <si>
    <t>CASTILLA Y LEON</t>
  </si>
  <si>
    <t>LA RIOJA</t>
  </si>
  <si>
    <t>TOTALES</t>
  </si>
  <si>
    <t>% crecimiento Ref. año anterior</t>
  </si>
  <si>
    <t>2013</t>
  </si>
  <si>
    <t>TOTAL</t>
  </si>
  <si>
    <t>JUNIOR</t>
  </si>
  <si>
    <t>CADETE</t>
  </si>
  <si>
    <t>CLUBES</t>
  </si>
  <si>
    <t>2014</t>
  </si>
  <si>
    <t>MASCULINO</t>
  </si>
  <si>
    <t>FEMENINO</t>
  </si>
  <si>
    <t>2015</t>
  </si>
  <si>
    <t>MASC</t>
  </si>
  <si>
    <t>FEM</t>
  </si>
  <si>
    <t>2016</t>
  </si>
  <si>
    <t>DEP</t>
  </si>
  <si>
    <t>OFI</t>
  </si>
  <si>
    <t>TEC</t>
  </si>
  <si>
    <t>GGEE</t>
  </si>
  <si>
    <t>G75-79</t>
  </si>
  <si>
    <t>G20-24</t>
  </si>
  <si>
    <t>G25-29</t>
  </si>
  <si>
    <t>G30-34</t>
  </si>
  <si>
    <t>G35-39</t>
  </si>
  <si>
    <t>G40-44</t>
  </si>
  <si>
    <t>G45-49</t>
  </si>
  <si>
    <t>G50-54</t>
  </si>
  <si>
    <t>G55-59</t>
  </si>
  <si>
    <t>G60-64</t>
  </si>
  <si>
    <t>G65-69</t>
  </si>
  <si>
    <t>G70-74</t>
  </si>
  <si>
    <t>ALEVIN</t>
  </si>
  <si>
    <t>BENJAMIN</t>
  </si>
  <si>
    <t>INFANTIL</t>
  </si>
  <si>
    <t>PREBENJAMIN</t>
  </si>
  <si>
    <t>G85-89</t>
  </si>
  <si>
    <t>G80-84</t>
  </si>
  <si>
    <t>Deportistas, Técnicos y Oficiales</t>
  </si>
  <si>
    <t xml:space="preserve">EVOLUCIÓN DE LICENCIAS </t>
  </si>
  <si>
    <t>2017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</si>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</sst>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p_t_a"/>
    <numFmt numFmtId="165" formatCode="#,##0.00\ [$€-1]"/>
    <numFmt numFmtId="169" formatCode="_-* #,##0.00\ [$€]_-;\-* #,##0.00\ [$€]_-;_-* &quot;-&quot;??\ [$€]_-;_-@_-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i/>
      <sz val="20"/>
      <color rgb="FF0070C0"/>
      <name val="Arial"/>
      <family val="2"/>
    </font>
    <font>
      <b/>
      <sz val="18"/>
      <color indexed="10"/>
      <name val="Arial"/>
      <family val="2"/>
    </font>
    <font>
      <b/>
      <sz val="12"/>
      <color theme="6" tint="-0.499984740745262"/>
      <name val="Arial"/>
      <family val="2"/>
    </font>
    <font>
      <sz val="11"/>
      <color theme="1"/>
      <name val="Arial"/>
      <family val="2"/>
    </font>
    <font>
      <b/>
      <sz val="18"/>
      <color indexed="12"/>
      <name val="Arial"/>
      <family val="2"/>
    </font>
    <font>
      <sz val="12"/>
      <color indexed="48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6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28"/>
      <color theme="3" tint="0.3999755851924192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0070C0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indexed="12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b/>
      <i/>
      <sz val="22"/>
      <color rgb="FF0070C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5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35" applyNumberFormat="0" applyAlignment="0" applyProtection="0"/>
    <xf numFmtId="0" fontId="12" fillId="10" borderId="36" applyNumberForma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169" fontId="5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38" applyNumberFormat="0" applyFill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35" applyNumberFormat="0" applyAlignment="0" applyProtection="0"/>
    <xf numFmtId="0" fontId="19" fillId="0" borderId="37" applyNumberFormat="0" applyFill="0" applyAlignment="0" applyProtection="0"/>
    <xf numFmtId="0" fontId="20" fillId="21" borderId="0" applyNumberFormat="0" applyBorder="0" applyAlignment="0" applyProtection="0"/>
    <xf numFmtId="0" fontId="5" fillId="8" borderId="41" applyNumberFormat="0" applyFont="0" applyAlignment="0" applyProtection="0"/>
    <xf numFmtId="0" fontId="21" fillId="17" borderId="42" applyNumberFormat="0" applyAlignment="0" applyProtection="0"/>
    <xf numFmtId="0" fontId="22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</cellStyleXfs>
  <cellXfs count="213">
    <xf numFmtId="0" fontId="0" fillId="0" borderId="0" xfId="0"/>
    <xf numFmtId="0" fontId="1" fillId="0" borderId="0" xfId="1" applyFont="1" applyAlignment="1">
      <alignment vertical="center"/>
    </xf>
    <xf numFmtId="0" fontId="27" fillId="0" borderId="32" xfId="1" applyFont="1" applyBorder="1" applyAlignment="1">
      <alignment vertical="center" wrapText="1"/>
    </xf>
    <xf numFmtId="0" fontId="27" fillId="0" borderId="3" xfId="1" applyFont="1" applyBorder="1" applyAlignment="1">
      <alignment vertical="center" wrapText="1"/>
    </xf>
    <xf numFmtId="0" fontId="30" fillId="0" borderId="22" xfId="1" applyFont="1" applyBorder="1" applyAlignment="1">
      <alignment horizontal="center" vertical="center" wrapText="1"/>
    </xf>
    <xf numFmtId="0" fontId="31" fillId="0" borderId="23" xfId="1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2" fillId="0" borderId="47" xfId="1" applyFont="1" applyBorder="1" applyAlignment="1">
      <alignment vertical="center"/>
    </xf>
    <xf numFmtId="0" fontId="32" fillId="0" borderId="47" xfId="1" applyFont="1" applyBorder="1" applyAlignment="1">
      <alignment horizontal="center" vertical="center"/>
    </xf>
    <xf numFmtId="0" fontId="29" fillId="0" borderId="0" xfId="0" applyFont="1"/>
    <xf numFmtId="0" fontId="1" fillId="0" borderId="0" xfId="1" applyFont="1"/>
    <xf numFmtId="3" fontId="1" fillId="0" borderId="0" xfId="1" applyNumberFormat="1" applyFont="1" applyAlignment="1">
      <alignment vertical="center"/>
    </xf>
    <xf numFmtId="0" fontId="36" fillId="22" borderId="21" xfId="1" applyFont="1" applyFill="1" applyBorder="1" applyAlignment="1">
      <alignment vertical="center" wrapText="1"/>
    </xf>
    <xf numFmtId="0" fontId="36" fillId="22" borderId="22" xfId="1" applyFont="1" applyFill="1" applyBorder="1" applyAlignment="1">
      <alignment vertical="center" wrapText="1"/>
    </xf>
    <xf numFmtId="0" fontId="30" fillId="0" borderId="50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28" fillId="0" borderId="47" xfId="1" applyFont="1" applyBorder="1" applyAlignment="1">
      <alignment horizontal="center" vertical="center" wrapText="1"/>
    </xf>
    <xf numFmtId="49" fontId="33" fillId="22" borderId="5" xfId="1" applyNumberFormat="1" applyFont="1" applyFill="1" applyBorder="1" applyAlignment="1">
      <alignment horizontal="center" vertical="center"/>
    </xf>
    <xf numFmtId="3" fontId="33" fillId="22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3" fillId="0" borderId="59" xfId="0" applyNumberFormat="1" applyFont="1" applyFill="1" applyBorder="1" applyAlignment="1">
      <alignment horizontal="center" vertical="center"/>
    </xf>
    <xf numFmtId="3" fontId="33" fillId="22" borderId="15" xfId="1" applyNumberFormat="1" applyFont="1" applyFill="1" applyBorder="1" applyAlignment="1">
      <alignment horizontal="center" vertical="center" wrapText="1"/>
    </xf>
    <xf numFmtId="3" fontId="33" fillId="22" borderId="11" xfId="1" applyNumberFormat="1" applyFont="1" applyFill="1" applyBorder="1" applyAlignment="1">
      <alignment horizontal="center" vertical="center"/>
    </xf>
    <xf numFmtId="3" fontId="24" fillId="0" borderId="0" xfId="0" applyNumberFormat="1" applyFont="1"/>
    <xf numFmtId="0" fontId="24" fillId="0" borderId="0" xfId="0" applyFont="1"/>
    <xf numFmtId="0" fontId="36" fillId="22" borderId="9" xfId="1" applyFont="1" applyFill="1" applyBorder="1" applyAlignment="1">
      <alignment horizontal="left" vertical="center" wrapText="1"/>
    </xf>
    <xf numFmtId="0" fontId="36" fillId="22" borderId="11" xfId="1" applyFont="1" applyFill="1" applyBorder="1" applyAlignment="1">
      <alignment horizontal="left" vertical="center" wrapText="1"/>
    </xf>
    <xf numFmtId="49" fontId="33" fillId="22" borderId="0" xfId="0" applyNumberFormat="1" applyFont="1" applyFill="1" applyBorder="1" applyAlignment="1">
      <alignment horizontal="center" vertical="center"/>
    </xf>
    <xf numFmtId="49" fontId="33" fillId="22" borderId="0" xfId="1" applyNumberFormat="1" applyFont="1" applyFill="1" applyBorder="1" applyAlignment="1">
      <alignment horizontal="center" vertical="center"/>
    </xf>
    <xf numFmtId="3" fontId="36" fillId="22" borderId="54" xfId="1" applyNumberFormat="1" applyFont="1" applyFill="1" applyBorder="1" applyAlignment="1">
      <alignment horizontal="center" vertical="center"/>
    </xf>
    <xf numFmtId="3" fontId="36" fillId="22" borderId="55" xfId="1" applyNumberFormat="1" applyFont="1" applyFill="1" applyBorder="1" applyAlignment="1">
      <alignment horizontal="center" vertical="center"/>
    </xf>
    <xf numFmtId="0" fontId="35" fillId="0" borderId="0" xfId="1" applyFont="1" applyAlignment="1">
      <alignment vertical="center"/>
    </xf>
    <xf numFmtId="1" fontId="40" fillId="22" borderId="4" xfId="1" applyNumberFormat="1" applyFont="1" applyFill="1" applyBorder="1" applyAlignment="1">
      <alignment horizontal="center" vertical="center"/>
    </xf>
    <xf numFmtId="0" fontId="40" fillId="22" borderId="4" xfId="1" applyFont="1" applyFill="1" applyBorder="1" applyAlignment="1">
      <alignment horizontal="center" vertical="center"/>
    </xf>
    <xf numFmtId="3" fontId="33" fillId="22" borderId="13" xfId="0" applyNumberFormat="1" applyFont="1" applyFill="1" applyBorder="1" applyAlignment="1">
      <alignment vertical="center"/>
    </xf>
    <xf numFmtId="0" fontId="7" fillId="0" borderId="47" xfId="1" applyFont="1" applyBorder="1" applyAlignment="1">
      <alignment vertical="center"/>
    </xf>
    <xf numFmtId="0" fontId="6" fillId="0" borderId="0" xfId="1" applyFont="1" applyAlignment="1">
      <alignment vertical="center"/>
    </xf>
    <xf numFmtId="3" fontId="33" fillId="22" borderId="53" xfId="0" applyNumberFormat="1" applyFont="1" applyFill="1" applyBorder="1" applyAlignment="1">
      <alignment vertical="center"/>
    </xf>
    <xf numFmtId="3" fontId="33" fillId="22" borderId="48" xfId="0" applyNumberFormat="1" applyFont="1" applyFill="1" applyBorder="1" applyAlignment="1">
      <alignment vertical="center"/>
    </xf>
    <xf numFmtId="3" fontId="33" fillId="22" borderId="45" xfId="0" applyNumberFormat="1" applyFont="1" applyFill="1" applyBorder="1" applyAlignment="1">
      <alignment vertical="center"/>
    </xf>
    <xf numFmtId="0" fontId="44" fillId="0" borderId="0" xfId="0" applyFont="1" applyAlignment="1">
      <alignment horizontal="right"/>
    </xf>
    <xf numFmtId="3" fontId="34" fillId="22" borderId="1" xfId="0" applyNumberFormat="1" applyFont="1" applyFill="1" applyBorder="1" applyAlignment="1">
      <alignment horizontal="right" vertical="center"/>
    </xf>
    <xf numFmtId="3" fontId="34" fillId="22" borderId="11" xfId="0" applyNumberFormat="1" applyFont="1" applyFill="1" applyBorder="1" applyAlignment="1">
      <alignment horizontal="right" vertical="center"/>
    </xf>
    <xf numFmtId="3" fontId="43" fillId="0" borderId="62" xfId="49" applyNumberFormat="1" applyFont="1" applyFill="1" applyBorder="1" applyAlignment="1">
      <alignment horizontal="center" vertical="center" wrapText="1"/>
    </xf>
    <xf numFmtId="3" fontId="34" fillId="22" borderId="62" xfId="49" applyNumberFormat="1" applyFont="1" applyFill="1" applyBorder="1" applyAlignment="1">
      <alignment horizontal="right" vertical="center" wrapText="1"/>
    </xf>
    <xf numFmtId="3" fontId="43" fillId="0" borderId="62" xfId="50" applyNumberFormat="1" applyFont="1" applyFill="1" applyBorder="1" applyAlignment="1">
      <alignment horizontal="center" vertical="center" wrapText="1"/>
    </xf>
    <xf numFmtId="3" fontId="34" fillId="22" borderId="62" xfId="50" applyNumberFormat="1" applyFont="1" applyFill="1" applyBorder="1" applyAlignment="1">
      <alignment horizontal="right" vertical="center" wrapText="1"/>
    </xf>
    <xf numFmtId="3" fontId="43" fillId="0" borderId="3" xfId="49" applyNumberFormat="1" applyFont="1" applyFill="1" applyBorder="1" applyAlignment="1">
      <alignment horizontal="center" vertical="center" wrapText="1"/>
    </xf>
    <xf numFmtId="3" fontId="43" fillId="0" borderId="0" xfId="49" applyNumberFormat="1" applyFont="1" applyFill="1" applyBorder="1" applyAlignment="1">
      <alignment horizontal="center" vertical="center" wrapText="1"/>
    </xf>
    <xf numFmtId="3" fontId="34" fillId="22" borderId="63" xfId="0" applyNumberFormat="1" applyFont="1" applyFill="1" applyBorder="1" applyAlignment="1">
      <alignment horizontal="right"/>
    </xf>
    <xf numFmtId="3" fontId="43" fillId="0" borderId="64" xfId="49" applyNumberFormat="1" applyFont="1" applyFill="1" applyBorder="1" applyAlignment="1">
      <alignment horizontal="center" vertical="center" wrapText="1"/>
    </xf>
    <xf numFmtId="3" fontId="43" fillId="0" borderId="60" xfId="49" applyNumberFormat="1" applyFont="1" applyFill="1" applyBorder="1" applyAlignment="1">
      <alignment horizontal="center" vertical="center" wrapText="1"/>
    </xf>
    <xf numFmtId="3" fontId="34" fillId="22" borderId="60" xfId="49" applyNumberFormat="1" applyFont="1" applyFill="1" applyBorder="1" applyAlignment="1">
      <alignment horizontal="right" vertical="center" wrapText="1"/>
    </xf>
    <xf numFmtId="3" fontId="43" fillId="0" borderId="60" xfId="50" applyNumberFormat="1" applyFont="1" applyFill="1" applyBorder="1" applyAlignment="1">
      <alignment horizontal="center" vertical="center" wrapText="1"/>
    </xf>
    <xf numFmtId="3" fontId="34" fillId="22" borderId="60" xfId="50" applyNumberFormat="1" applyFont="1" applyFill="1" applyBorder="1" applyAlignment="1">
      <alignment horizontal="right" vertical="center" wrapText="1"/>
    </xf>
    <xf numFmtId="3" fontId="34" fillId="22" borderId="61" xfId="0" applyNumberFormat="1" applyFont="1" applyFill="1" applyBorder="1" applyAlignment="1">
      <alignment horizontal="right"/>
    </xf>
    <xf numFmtId="3" fontId="34" fillId="22" borderId="65" xfId="0" applyNumberFormat="1" applyFont="1" applyFill="1" applyBorder="1" applyAlignment="1">
      <alignment horizontal="right"/>
    </xf>
    <xf numFmtId="3" fontId="42" fillId="23" borderId="1" xfId="49" applyNumberFormat="1" applyFont="1" applyFill="1" applyBorder="1" applyAlignment="1">
      <alignment horizontal="center" vertical="center"/>
    </xf>
    <xf numFmtId="0" fontId="47" fillId="0" borderId="67" xfId="49" applyFont="1" applyFill="1" applyBorder="1" applyAlignment="1">
      <alignment horizontal="left" vertical="center" wrapText="1"/>
    </xf>
    <xf numFmtId="0" fontId="47" fillId="0" borderId="68" xfId="49" applyFont="1" applyFill="1" applyBorder="1" applyAlignment="1">
      <alignment horizontal="left" vertical="center" wrapText="1"/>
    </xf>
    <xf numFmtId="0" fontId="47" fillId="0" borderId="69" xfId="49" applyFont="1" applyFill="1" applyBorder="1" applyAlignment="1">
      <alignment horizontal="left" vertical="center" wrapText="1"/>
    </xf>
    <xf numFmtId="3" fontId="34" fillId="22" borderId="71" xfId="49" applyNumberFormat="1" applyFont="1" applyFill="1" applyBorder="1" applyAlignment="1">
      <alignment horizontal="right" vertical="center" wrapText="1"/>
    </xf>
    <xf numFmtId="3" fontId="34" fillId="22" borderId="71" xfId="50" applyNumberFormat="1" applyFont="1" applyFill="1" applyBorder="1" applyAlignment="1">
      <alignment horizontal="right" vertical="center" wrapText="1"/>
    </xf>
    <xf numFmtId="3" fontId="34" fillId="22" borderId="70" xfId="0" applyNumberFormat="1" applyFont="1" applyFill="1" applyBorder="1" applyAlignment="1">
      <alignment horizontal="right"/>
    </xf>
    <xf numFmtId="3" fontId="36" fillId="22" borderId="47" xfId="0" applyNumberFormat="1" applyFont="1" applyFill="1" applyBorder="1" applyAlignment="1">
      <alignment horizontal="right"/>
    </xf>
    <xf numFmtId="3" fontId="36" fillId="22" borderId="29" xfId="0" applyNumberFormat="1" applyFont="1" applyFill="1" applyBorder="1" applyAlignment="1">
      <alignment horizontal="right"/>
    </xf>
    <xf numFmtId="3" fontId="43" fillId="0" borderId="71" xfId="49" applyNumberFormat="1" applyFont="1" applyFill="1" applyBorder="1" applyAlignment="1">
      <alignment horizontal="center" vertical="center" wrapText="1"/>
    </xf>
    <xf numFmtId="3" fontId="43" fillId="0" borderId="71" xfId="50" applyNumberFormat="1" applyFont="1" applyFill="1" applyBorder="1" applyAlignment="1">
      <alignment horizontal="center" vertical="center" wrapText="1"/>
    </xf>
    <xf numFmtId="3" fontId="45" fillId="22" borderId="29" xfId="0" applyNumberFormat="1" applyFont="1" applyFill="1" applyBorder="1" applyAlignment="1">
      <alignment horizontal="center" vertical="center"/>
    </xf>
    <xf numFmtId="3" fontId="45" fillId="22" borderId="31" xfId="0" applyNumberFormat="1" applyFont="1" applyFill="1" applyBorder="1" applyAlignment="1">
      <alignment horizontal="center" vertical="center"/>
    </xf>
    <xf numFmtId="0" fontId="46" fillId="0" borderId="47" xfId="0" applyFont="1" applyBorder="1" applyAlignment="1">
      <alignment horizontal="right"/>
    </xf>
    <xf numFmtId="3" fontId="42" fillId="23" borderId="73" xfId="49" applyNumberFormat="1" applyFont="1" applyFill="1" applyBorder="1" applyAlignment="1">
      <alignment horizontal="center" vertical="center"/>
    </xf>
    <xf numFmtId="3" fontId="43" fillId="0" borderId="66" xfId="50" applyNumberFormat="1" applyFont="1" applyFill="1" applyBorder="1" applyAlignment="1">
      <alignment horizontal="center" vertical="center" wrapText="1"/>
    </xf>
    <xf numFmtId="3" fontId="43" fillId="0" borderId="64" xfId="50" applyNumberFormat="1" applyFont="1" applyFill="1" applyBorder="1" applyAlignment="1">
      <alignment horizontal="center" vertical="center" wrapText="1"/>
    </xf>
    <xf numFmtId="3" fontId="43" fillId="0" borderId="72" xfId="50" applyNumberFormat="1" applyFont="1" applyFill="1" applyBorder="1" applyAlignment="1">
      <alignment horizontal="center" vertical="center" wrapText="1"/>
    </xf>
    <xf numFmtId="3" fontId="45" fillId="22" borderId="30" xfId="0" applyNumberFormat="1" applyFont="1" applyFill="1" applyBorder="1" applyAlignment="1">
      <alignment horizontal="center" vertical="center"/>
    </xf>
    <xf numFmtId="3" fontId="42" fillId="23" borderId="74" xfId="49" applyNumberFormat="1" applyFont="1" applyFill="1" applyBorder="1" applyAlignment="1">
      <alignment horizontal="center" vertical="center"/>
    </xf>
    <xf numFmtId="3" fontId="42" fillId="23" borderId="75" xfId="49" applyNumberFormat="1" applyFont="1" applyFill="1" applyBorder="1" applyAlignment="1">
      <alignment horizontal="center" vertical="center"/>
    </xf>
    <xf numFmtId="3" fontId="34" fillId="22" borderId="76" xfId="0" applyNumberFormat="1" applyFont="1" applyFill="1" applyBorder="1" applyAlignment="1">
      <alignment horizontal="right" vertical="center"/>
    </xf>
    <xf numFmtId="3" fontId="43" fillId="0" borderId="77" xfId="49" applyNumberFormat="1" applyFont="1" applyFill="1" applyBorder="1" applyAlignment="1">
      <alignment horizontal="center" vertical="center" wrapText="1"/>
    </xf>
    <xf numFmtId="3" fontId="34" fillId="22" borderId="78" xfId="49" applyNumberFormat="1" applyFont="1" applyFill="1" applyBorder="1" applyAlignment="1">
      <alignment horizontal="right" vertical="center" wrapText="1"/>
    </xf>
    <xf numFmtId="3" fontId="43" fillId="0" borderId="79" xfId="49" applyNumberFormat="1" applyFont="1" applyFill="1" applyBorder="1" applyAlignment="1">
      <alignment horizontal="center" vertical="center" wrapText="1"/>
    </xf>
    <xf numFmtId="3" fontId="34" fillId="22" borderId="61" xfId="49" applyNumberFormat="1" applyFont="1" applyFill="1" applyBorder="1" applyAlignment="1">
      <alignment horizontal="right" vertical="center" wrapText="1"/>
    </xf>
    <xf numFmtId="3" fontId="43" fillId="0" borderId="80" xfId="49" applyNumberFormat="1" applyFont="1" applyFill="1" applyBorder="1" applyAlignment="1">
      <alignment horizontal="center" vertical="center" wrapText="1"/>
    </xf>
    <xf numFmtId="3" fontId="34" fillId="22" borderId="70" xfId="49" applyNumberFormat="1" applyFont="1" applyFill="1" applyBorder="1" applyAlignment="1">
      <alignment horizontal="right" vertical="center" wrapText="1"/>
    </xf>
    <xf numFmtId="0" fontId="33" fillId="22" borderId="19" xfId="1" applyFont="1" applyFill="1" applyBorder="1" applyAlignment="1">
      <alignment horizontal="center" vertical="center" wrapText="1"/>
    </xf>
    <xf numFmtId="0" fontId="33" fillId="22" borderId="5" xfId="1" applyFont="1" applyFill="1" applyBorder="1" applyAlignment="1">
      <alignment horizontal="center" vertical="center"/>
    </xf>
    <xf numFmtId="49" fontId="33" fillId="22" borderId="20" xfId="0" applyNumberFormat="1" applyFont="1" applyFill="1" applyBorder="1" applyAlignment="1">
      <alignment horizontal="center" vertical="center"/>
    </xf>
    <xf numFmtId="3" fontId="48" fillId="24" borderId="52" xfId="0" applyNumberFormat="1" applyFont="1" applyFill="1" applyBorder="1" applyAlignment="1" applyProtection="1">
      <alignment horizontal="center" vertical="center"/>
      <protection locked="0"/>
    </xf>
    <xf numFmtId="0" fontId="48" fillId="24" borderId="56" xfId="0" applyFont="1" applyFill="1" applyBorder="1" applyAlignment="1" applyProtection="1">
      <alignment horizontal="center" vertical="center"/>
      <protection locked="0"/>
    </xf>
    <xf numFmtId="3" fontId="48" fillId="24" borderId="56" xfId="0" applyNumberFormat="1" applyFont="1" applyFill="1" applyBorder="1" applyAlignment="1" applyProtection="1">
      <alignment horizontal="center" vertical="center"/>
      <protection locked="0"/>
    </xf>
    <xf numFmtId="3" fontId="48" fillId="25" borderId="15" xfId="0" applyNumberFormat="1" applyFont="1" applyFill="1" applyBorder="1" applyAlignment="1" applyProtection="1">
      <alignment horizontal="center" vertical="center"/>
      <protection locked="0"/>
    </xf>
    <xf numFmtId="0" fontId="48" fillId="25" borderId="11" xfId="0" applyFont="1" applyFill="1" applyBorder="1" applyAlignment="1" applyProtection="1">
      <alignment horizontal="center" vertical="center"/>
      <protection locked="0"/>
    </xf>
    <xf numFmtId="3" fontId="48" fillId="25" borderId="11" xfId="0" applyNumberFormat="1" applyFont="1" applyFill="1" applyBorder="1" applyAlignment="1" applyProtection="1">
      <alignment horizontal="center" vertical="center"/>
      <protection locked="0"/>
    </xf>
    <xf numFmtId="3" fontId="48" fillId="24" borderId="15" xfId="0" applyNumberFormat="1" applyFont="1" applyFill="1" applyBorder="1" applyAlignment="1" applyProtection="1">
      <alignment horizontal="center" vertical="center"/>
      <protection locked="0"/>
    </xf>
    <xf numFmtId="0" fontId="48" fillId="24" borderId="11" xfId="0" applyFont="1" applyFill="1" applyBorder="1" applyAlignment="1" applyProtection="1">
      <alignment horizontal="center" vertical="center"/>
      <protection locked="0"/>
    </xf>
    <xf numFmtId="3" fontId="48" fillId="24" borderId="11" xfId="0" applyNumberFormat="1" applyFont="1" applyFill="1" applyBorder="1" applyAlignment="1" applyProtection="1">
      <alignment horizontal="center" vertical="center"/>
      <protection locked="0"/>
    </xf>
    <xf numFmtId="3" fontId="48" fillId="24" borderId="16" xfId="0" applyNumberFormat="1" applyFont="1" applyFill="1" applyBorder="1" applyAlignment="1" applyProtection="1">
      <alignment horizontal="center" vertical="center"/>
      <protection locked="0"/>
    </xf>
    <xf numFmtId="3" fontId="48" fillId="24" borderId="18" xfId="0" applyNumberFormat="1" applyFont="1" applyFill="1" applyBorder="1" applyAlignment="1" applyProtection="1">
      <alignment horizontal="center" vertical="center"/>
      <protection locked="0"/>
    </xf>
    <xf numFmtId="3" fontId="48" fillId="24" borderId="52" xfId="0" applyNumberFormat="1" applyFont="1" applyFill="1" applyBorder="1" applyAlignment="1">
      <alignment horizontal="center" vertical="center"/>
    </xf>
    <xf numFmtId="3" fontId="48" fillId="24" borderId="57" xfId="0" applyNumberFormat="1" applyFont="1" applyFill="1" applyBorder="1" applyAlignment="1" applyProtection="1">
      <alignment horizontal="center" vertical="center"/>
      <protection locked="0"/>
    </xf>
    <xf numFmtId="0" fontId="48" fillId="25" borderId="15" xfId="0" applyFont="1" applyFill="1" applyBorder="1" applyAlignment="1">
      <alignment horizontal="center" vertical="center"/>
    </xf>
    <xf numFmtId="3" fontId="48" fillId="25" borderId="34" xfId="0" applyNumberFormat="1" applyFont="1" applyFill="1" applyBorder="1" applyAlignment="1" applyProtection="1">
      <alignment horizontal="center" vertical="center"/>
      <protection locked="0"/>
    </xf>
    <xf numFmtId="0" fontId="48" fillId="24" borderId="15" xfId="0" applyFont="1" applyFill="1" applyBorder="1" applyAlignment="1">
      <alignment horizontal="center" vertical="center"/>
    </xf>
    <xf numFmtId="3" fontId="48" fillId="24" borderId="34" xfId="0" applyNumberFormat="1" applyFont="1" applyFill="1" applyBorder="1" applyAlignment="1" applyProtection="1">
      <alignment horizontal="center" vertical="center"/>
      <protection locked="0"/>
    </xf>
    <xf numFmtId="3" fontId="48" fillId="24" borderId="15" xfId="0" applyNumberFormat="1" applyFont="1" applyFill="1" applyBorder="1" applyAlignment="1">
      <alignment horizontal="center" vertical="center"/>
    </xf>
    <xf numFmtId="3" fontId="48" fillId="25" borderId="15" xfId="0" applyNumberFormat="1" applyFont="1" applyFill="1" applyBorder="1" applyAlignment="1">
      <alignment horizontal="center" vertical="center"/>
    </xf>
    <xf numFmtId="0" fontId="48" fillId="24" borderId="16" xfId="0" applyFont="1" applyFill="1" applyBorder="1" applyAlignment="1">
      <alignment horizontal="center" vertical="center"/>
    </xf>
    <xf numFmtId="3" fontId="48" fillId="24" borderId="58" xfId="0" applyNumberFormat="1" applyFont="1" applyFill="1" applyBorder="1" applyAlignment="1" applyProtection="1">
      <alignment horizontal="center" vertical="center"/>
      <protection locked="0"/>
    </xf>
    <xf numFmtId="49" fontId="33" fillId="22" borderId="46" xfId="0" applyNumberFormat="1" applyFont="1" applyFill="1" applyBorder="1" applyAlignment="1">
      <alignment horizontal="center" vertical="center"/>
    </xf>
    <xf numFmtId="3" fontId="33" fillId="22" borderId="2" xfId="1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5" xfId="0" applyNumberFormat="1" applyFont="1" applyFill="1" applyBorder="1" applyAlignment="1">
      <alignment horizontal="center" vertical="center"/>
    </xf>
    <xf numFmtId="49" fontId="39" fillId="22" borderId="51" xfId="1" applyNumberFormat="1" applyFont="1" applyFill="1" applyBorder="1" applyAlignment="1">
      <alignment horizontal="center" vertical="center"/>
    </xf>
    <xf numFmtId="49" fontId="39" fillId="22" borderId="81" xfId="1" applyNumberFormat="1" applyFont="1" applyFill="1" applyBorder="1" applyAlignment="1">
      <alignment horizontal="center" vertical="center"/>
    </xf>
    <xf numFmtId="49" fontId="39" fillId="22" borderId="81" xfId="0" applyNumberFormat="1" applyFont="1" applyFill="1" applyBorder="1" applyAlignment="1">
      <alignment horizontal="center" vertical="center"/>
    </xf>
    <xf numFmtId="49" fontId="39" fillId="22" borderId="52" xfId="0" applyNumberFormat="1" applyFont="1" applyFill="1" applyBorder="1" applyAlignment="1">
      <alignment horizontal="center" vertical="center"/>
    </xf>
    <xf numFmtId="0" fontId="34" fillId="22" borderId="3" xfId="1" applyFont="1" applyFill="1" applyBorder="1" applyAlignment="1">
      <alignment horizontal="left" vertical="center" wrapText="1"/>
    </xf>
    <xf numFmtId="3" fontId="49" fillId="0" borderId="4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49" fillId="26" borderId="75" xfId="1" applyNumberFormat="1" applyFont="1" applyFill="1" applyBorder="1" applyAlignment="1">
      <alignment horizontal="center" vertical="center"/>
    </xf>
    <xf numFmtId="0" fontId="50" fillId="2" borderId="19" xfId="1" applyFont="1" applyFill="1" applyBorder="1" applyAlignment="1">
      <alignment horizontal="center" vertical="center" wrapText="1"/>
    </xf>
    <xf numFmtId="0" fontId="50" fillId="2" borderId="5" xfId="1" applyFont="1" applyFill="1" applyBorder="1" applyAlignment="1">
      <alignment horizontal="center" vertical="center"/>
    </xf>
    <xf numFmtId="49" fontId="50" fillId="2" borderId="5" xfId="1" applyNumberFormat="1" applyFont="1" applyFill="1" applyBorder="1" applyAlignment="1">
      <alignment horizontal="center" vertical="center"/>
    </xf>
    <xf numFmtId="49" fontId="50" fillId="2" borderId="46" xfId="1" applyNumberFormat="1" applyFont="1" applyFill="1" applyBorder="1" applyAlignment="1">
      <alignment horizontal="center" vertical="center"/>
    </xf>
    <xf numFmtId="0" fontId="28" fillId="0" borderId="3" xfId="1" applyFont="1" applyBorder="1" applyAlignment="1">
      <alignment horizontal="center" vertical="center" wrapText="1"/>
    </xf>
    <xf numFmtId="0" fontId="2" fillId="2" borderId="74" xfId="1" applyFont="1" applyFill="1" applyBorder="1" applyAlignment="1">
      <alignment vertical="center" wrapText="1"/>
    </xf>
    <xf numFmtId="0" fontId="2" fillId="2" borderId="75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48" fillId="0" borderId="75" xfId="1" applyFont="1" applyFill="1" applyBorder="1" applyAlignment="1">
      <alignment horizontal="center" vertical="center" wrapText="1"/>
    </xf>
    <xf numFmtId="0" fontId="38" fillId="22" borderId="75" xfId="1" applyFont="1" applyFill="1" applyBorder="1" applyAlignment="1">
      <alignment vertical="center"/>
    </xf>
    <xf numFmtId="3" fontId="48" fillId="0" borderId="75" xfId="0" applyNumberFormat="1" applyFont="1" applyFill="1" applyBorder="1" applyAlignment="1">
      <alignment horizontal="center" vertical="center"/>
    </xf>
    <xf numFmtId="0" fontId="48" fillId="0" borderId="75" xfId="1" applyFont="1" applyFill="1" applyBorder="1" applyAlignment="1">
      <alignment horizontal="center" vertical="center"/>
    </xf>
    <xf numFmtId="0" fontId="38" fillId="22" borderId="75" xfId="0" applyFont="1" applyFill="1" applyBorder="1" applyAlignment="1">
      <alignment vertical="center"/>
    </xf>
    <xf numFmtId="0" fontId="48" fillId="0" borderId="75" xfId="0" applyFont="1" applyFill="1" applyBorder="1" applyAlignment="1">
      <alignment horizontal="center" vertical="center"/>
    </xf>
    <xf numFmtId="3" fontId="48" fillId="0" borderId="75" xfId="0" applyNumberFormat="1" applyFont="1" applyFill="1" applyBorder="1" applyAlignment="1" applyProtection="1">
      <alignment horizontal="center" vertical="center"/>
      <protection locked="0"/>
    </xf>
    <xf numFmtId="3" fontId="38" fillId="22" borderId="75" xfId="0" applyNumberFormat="1" applyFont="1" applyFill="1" applyBorder="1" applyAlignment="1">
      <alignment vertical="center"/>
    </xf>
    <xf numFmtId="0" fontId="48" fillId="25" borderId="75" xfId="1" applyFont="1" applyFill="1" applyBorder="1" applyAlignment="1">
      <alignment horizontal="center" vertical="center" wrapText="1"/>
    </xf>
    <xf numFmtId="3" fontId="48" fillId="25" borderId="75" xfId="0" applyNumberFormat="1" applyFont="1" applyFill="1" applyBorder="1" applyAlignment="1">
      <alignment horizontal="center" vertical="center"/>
    </xf>
    <xf numFmtId="0" fontId="48" fillId="25" borderId="75" xfId="1" applyFont="1" applyFill="1" applyBorder="1" applyAlignment="1">
      <alignment horizontal="center" vertical="center"/>
    </xf>
    <xf numFmtId="0" fontId="48" fillId="25" borderId="75" xfId="0" applyFont="1" applyFill="1" applyBorder="1" applyAlignment="1">
      <alignment horizontal="center" vertical="center"/>
    </xf>
    <xf numFmtId="3" fontId="48" fillId="25" borderId="75" xfId="0" applyNumberFormat="1" applyFont="1" applyFill="1" applyBorder="1" applyAlignment="1" applyProtection="1">
      <alignment horizontal="center" vertical="center"/>
      <protection locked="0"/>
    </xf>
    <xf numFmtId="0" fontId="51" fillId="2" borderId="75" xfId="1" applyFont="1" applyFill="1" applyBorder="1" applyAlignment="1">
      <alignment vertical="center"/>
    </xf>
    <xf numFmtId="0" fontId="2" fillId="2" borderId="74" xfId="1" applyFont="1" applyFill="1" applyBorder="1" applyAlignment="1">
      <alignment horizontal="center" vertical="center" wrapText="1"/>
    </xf>
    <xf numFmtId="0" fontId="2" fillId="2" borderId="7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8" fillId="22" borderId="75" xfId="1" applyFont="1" applyFill="1" applyBorder="1" applyAlignment="1">
      <alignment horizontal="center" vertical="center"/>
    </xf>
    <xf numFmtId="3" fontId="50" fillId="27" borderId="74" xfId="1" applyNumberFormat="1" applyFont="1" applyFill="1" applyBorder="1" applyAlignment="1">
      <alignment horizontal="center" vertical="center" wrapText="1"/>
    </xf>
    <xf numFmtId="3" fontId="50" fillId="27" borderId="75" xfId="1" applyNumberFormat="1" applyFont="1" applyFill="1" applyBorder="1" applyAlignment="1">
      <alignment horizontal="center" vertical="center"/>
    </xf>
    <xf numFmtId="3" fontId="50" fillId="27" borderId="2" xfId="1" applyNumberFormat="1" applyFont="1" applyFill="1" applyBorder="1" applyAlignment="1">
      <alignment horizontal="center" vertical="center"/>
    </xf>
    <xf numFmtId="0" fontId="36" fillId="22" borderId="75" xfId="1" applyFont="1" applyFill="1" applyBorder="1" applyAlignment="1">
      <alignment horizontal="center" vertical="center"/>
    </xf>
    <xf numFmtId="3" fontId="33" fillId="22" borderId="75" xfId="1" applyNumberFormat="1" applyFont="1" applyFill="1" applyBorder="1" applyAlignment="1">
      <alignment horizontal="center" vertical="center"/>
    </xf>
    <xf numFmtId="3" fontId="36" fillId="22" borderId="75" xfId="1" applyNumberFormat="1" applyFont="1" applyFill="1" applyBorder="1" applyAlignment="1">
      <alignment horizontal="center" vertical="center"/>
    </xf>
    <xf numFmtId="3" fontId="36" fillId="22" borderId="44" xfId="1" applyNumberFormat="1" applyFont="1" applyFill="1" applyBorder="1" applyAlignment="1">
      <alignment horizontal="center" vertical="center"/>
    </xf>
    <xf numFmtId="3" fontId="33" fillId="22" borderId="44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25" borderId="75" xfId="0" applyFont="1" applyFill="1" applyBorder="1" applyAlignment="1">
      <alignment horizontal="center" vertical="center"/>
    </xf>
    <xf numFmtId="165" fontId="33" fillId="22" borderId="74" xfId="1" applyNumberFormat="1" applyFont="1" applyFill="1" applyBorder="1" applyAlignment="1">
      <alignment horizontal="left" vertical="center"/>
    </xf>
    <xf numFmtId="3" fontId="2" fillId="0" borderId="75" xfId="1" applyNumberFormat="1" applyFont="1" applyFill="1" applyBorder="1" applyAlignment="1">
      <alignment horizontal="center" vertical="center"/>
    </xf>
    <xf numFmtId="3" fontId="2" fillId="25" borderId="75" xfId="1" applyNumberFormat="1" applyFont="1" applyFill="1" applyBorder="1" applyAlignment="1">
      <alignment horizontal="center" vertical="center"/>
    </xf>
    <xf numFmtId="164" fontId="33" fillId="22" borderId="74" xfId="1" applyNumberFormat="1" applyFont="1" applyFill="1" applyBorder="1" applyAlignment="1">
      <alignment horizontal="left" vertical="center"/>
    </xf>
    <xf numFmtId="0" fontId="52" fillId="0" borderId="16" xfId="1" applyFont="1" applyBorder="1" applyAlignment="1">
      <alignment horizontal="right" vertical="center"/>
    </xf>
    <xf numFmtId="3" fontId="40" fillId="22" borderId="17" xfId="1" applyNumberFormat="1" applyFont="1" applyFill="1" applyBorder="1" applyAlignment="1">
      <alignment vertical="center"/>
    </xf>
    <xf numFmtId="49" fontId="33" fillId="22" borderId="5" xfId="0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4" fontId="48" fillId="0" borderId="49" xfId="1" applyNumberFormat="1" applyFont="1" applyBorder="1" applyAlignment="1">
      <alignment horizontal="center" vertical="center"/>
    </xf>
    <xf numFmtId="0" fontId="53" fillId="0" borderId="29" xfId="1" applyFont="1" applyBorder="1" applyAlignment="1">
      <alignment horizontal="center" vertical="center"/>
    </xf>
    <xf numFmtId="0" fontId="53" fillId="0" borderId="30" xfId="1" applyFont="1" applyBorder="1" applyAlignment="1">
      <alignment horizontal="center" vertical="center"/>
    </xf>
    <xf numFmtId="49" fontId="40" fillId="22" borderId="26" xfId="0" applyNumberFormat="1" applyFont="1" applyFill="1" applyBorder="1" applyAlignment="1">
      <alignment horizontal="center" vertical="center"/>
    </xf>
    <xf numFmtId="49" fontId="40" fillId="22" borderId="27" xfId="0" applyNumberFormat="1" applyFont="1" applyFill="1" applyBorder="1" applyAlignment="1">
      <alignment horizontal="center" vertical="center"/>
    </xf>
    <xf numFmtId="49" fontId="40" fillId="22" borderId="28" xfId="0" applyNumberFormat="1" applyFont="1" applyFill="1" applyBorder="1" applyAlignment="1">
      <alignment horizontal="center" vertical="center"/>
    </xf>
    <xf numFmtId="49" fontId="40" fillId="22" borderId="26" xfId="1" applyNumberFormat="1" applyFont="1" applyFill="1" applyBorder="1" applyAlignment="1">
      <alignment horizontal="center" vertical="center"/>
    </xf>
    <xf numFmtId="49" fontId="40" fillId="22" borderId="27" xfId="1" applyNumberFormat="1" applyFont="1" applyFill="1" applyBorder="1" applyAlignment="1">
      <alignment horizontal="center" vertical="center"/>
    </xf>
    <xf numFmtId="49" fontId="40" fillId="22" borderId="28" xfId="1" applyNumberFormat="1" applyFont="1" applyFill="1" applyBorder="1" applyAlignment="1">
      <alignment horizontal="center" vertical="center"/>
    </xf>
    <xf numFmtId="49" fontId="40" fillId="22" borderId="3" xfId="0" applyNumberFormat="1" applyFont="1" applyFill="1" applyBorder="1" applyAlignment="1">
      <alignment horizontal="center" vertical="center"/>
    </xf>
    <xf numFmtId="49" fontId="40" fillId="22" borderId="0" xfId="0" applyNumberFormat="1" applyFont="1" applyFill="1" applyBorder="1" applyAlignment="1">
      <alignment horizontal="center" vertical="center"/>
    </xf>
    <xf numFmtId="49" fontId="33" fillId="22" borderId="29" xfId="0" applyNumberFormat="1" applyFont="1" applyFill="1" applyBorder="1" applyAlignment="1">
      <alignment horizontal="center" vertical="center"/>
    </xf>
    <xf numFmtId="49" fontId="33" fillId="22" borderId="31" xfId="0" applyNumberFormat="1" applyFont="1" applyFill="1" applyBorder="1" applyAlignment="1">
      <alignment horizontal="center" vertical="center"/>
    </xf>
    <xf numFmtId="3" fontId="33" fillId="22" borderId="12" xfId="1" applyNumberFormat="1" applyFont="1" applyFill="1" applyBorder="1" applyAlignment="1">
      <alignment horizontal="center" vertical="center"/>
    </xf>
    <xf numFmtId="3" fontId="33" fillId="22" borderId="49" xfId="1" applyNumberFormat="1" applyFont="1" applyFill="1" applyBorder="1" applyAlignment="1">
      <alignment horizontal="center" vertical="center"/>
    </xf>
    <xf numFmtId="3" fontId="36" fillId="22" borderId="29" xfId="1" applyNumberFormat="1" applyFont="1" applyFill="1" applyBorder="1" applyAlignment="1">
      <alignment horizontal="center" vertical="center"/>
    </xf>
    <xf numFmtId="3" fontId="36" fillId="22" borderId="31" xfId="1" applyNumberFormat="1" applyFont="1" applyFill="1" applyBorder="1" applyAlignment="1">
      <alignment horizontal="center" vertical="center"/>
    </xf>
    <xf numFmtId="3" fontId="36" fillId="22" borderId="30" xfId="1" applyNumberFormat="1" applyFont="1" applyFill="1" applyBorder="1" applyAlignment="1">
      <alignment horizontal="center" vertical="center"/>
    </xf>
    <xf numFmtId="3" fontId="33" fillId="22" borderId="7" xfId="1" applyNumberFormat="1" applyFont="1" applyFill="1" applyBorder="1" applyAlignment="1">
      <alignment horizontal="center" vertical="center"/>
    </xf>
    <xf numFmtId="49" fontId="33" fillId="22" borderId="7" xfId="1" applyNumberFormat="1" applyFont="1" applyFill="1" applyBorder="1" applyAlignment="1">
      <alignment horizontal="center" vertical="center"/>
    </xf>
    <xf numFmtId="49" fontId="33" fillId="22" borderId="28" xfId="1" applyNumberFormat="1" applyFont="1" applyFill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49" fontId="33" fillId="22" borderId="12" xfId="1" applyNumberFormat="1" applyFont="1" applyFill="1" applyBorder="1" applyAlignment="1">
      <alignment horizontal="center" vertical="center"/>
    </xf>
    <xf numFmtId="49" fontId="33" fillId="22" borderId="27" xfId="1" applyNumberFormat="1" applyFont="1" applyFill="1" applyBorder="1" applyAlignment="1">
      <alignment horizontal="center" vertical="center"/>
    </xf>
    <xf numFmtId="0" fontId="41" fillId="24" borderId="3" xfId="2" applyFont="1" applyFill="1" applyBorder="1" applyAlignment="1">
      <alignment horizontal="center" vertical="center"/>
    </xf>
    <xf numFmtId="0" fontId="41" fillId="24" borderId="0" xfId="2" applyFont="1" applyFill="1" applyBorder="1" applyAlignment="1">
      <alignment horizontal="center" vertical="center"/>
    </xf>
    <xf numFmtId="0" fontId="36" fillId="22" borderId="24" xfId="0" applyFont="1" applyFill="1" applyBorder="1" applyAlignment="1">
      <alignment horizontal="center" vertical="center"/>
    </xf>
    <xf numFmtId="0" fontId="36" fillId="22" borderId="9" xfId="0" applyFont="1" applyFill="1" applyBorder="1" applyAlignment="1">
      <alignment horizontal="center" vertical="center"/>
    </xf>
    <xf numFmtId="0" fontId="40" fillId="23" borderId="21" xfId="49" applyFont="1" applyFill="1" applyBorder="1" applyAlignment="1">
      <alignment horizontal="center" vertical="center"/>
    </xf>
    <xf numFmtId="0" fontId="40" fillId="23" borderId="22" xfId="49" applyFont="1" applyFill="1" applyBorder="1" applyAlignment="1">
      <alignment horizontal="center" vertical="center"/>
    </xf>
    <xf numFmtId="0" fontId="36" fillId="22" borderId="33" xfId="0" applyFont="1" applyFill="1" applyBorder="1" applyAlignment="1">
      <alignment horizontal="center" vertical="center"/>
    </xf>
    <xf numFmtId="0" fontId="36" fillId="22" borderId="25" xfId="0" applyFont="1" applyFill="1" applyBorder="1" applyAlignment="1">
      <alignment horizontal="center" vertical="center"/>
    </xf>
  </cellXfs>
  <cellStyles count="51">
    <cellStyle name="Accent1" xfId="4"/>
    <cellStyle name="Accent1 - 20%" xfId="5"/>
    <cellStyle name="Accent1 - 40%" xfId="6"/>
    <cellStyle name="Accent1 - 60%" xfId="7"/>
    <cellStyle name="Accent2" xfId="8"/>
    <cellStyle name="Accent2 - 20%" xfId="9"/>
    <cellStyle name="Accent2 - 40%" xfId="10"/>
    <cellStyle name="Accent2 - 60%" xfId="11"/>
    <cellStyle name="Accent3" xfId="12"/>
    <cellStyle name="Accent3 - 20%" xfId="13"/>
    <cellStyle name="Accent3 - 40%" xfId="14"/>
    <cellStyle name="Accent3 - 60%" xfId="15"/>
    <cellStyle name="Accent4" xfId="16"/>
    <cellStyle name="Accent4 - 20%" xfId="17"/>
    <cellStyle name="Accent4 - 40%" xfId="18"/>
    <cellStyle name="Accent4 - 60%" xfId="19"/>
    <cellStyle name="Accent5" xfId="20"/>
    <cellStyle name="Accent5 - 20%" xfId="21"/>
    <cellStyle name="Accent5 - 40%" xfId="22"/>
    <cellStyle name="Accent5 - 60%" xfId="23"/>
    <cellStyle name="Accent6" xfId="24"/>
    <cellStyle name="Accent6 - 20%" xfId="25"/>
    <cellStyle name="Accent6 - 40%" xfId="26"/>
    <cellStyle name="Accent6 - 60%" xfId="27"/>
    <cellStyle name="Bad" xfId="28"/>
    <cellStyle name="Buena" xfId="2" builtinId="26"/>
    <cellStyle name="Calculation" xfId="29"/>
    <cellStyle name="Check Cell" xfId="30"/>
    <cellStyle name="Emphasis 1" xfId="31"/>
    <cellStyle name="Emphasis 2" xfId="32"/>
    <cellStyle name="Emphasis 3" xfId="33"/>
    <cellStyle name="Euro" xfId="34"/>
    <cellStyle name="Good" xfId="35"/>
    <cellStyle name="Heading 1" xfId="36"/>
    <cellStyle name="Heading 2" xfId="37"/>
    <cellStyle name="Heading 3" xfId="38"/>
    <cellStyle name="Heading 4" xfId="39"/>
    <cellStyle name="Hipervínculo 2" xfId="48"/>
    <cellStyle name="Input" xfId="40"/>
    <cellStyle name="Linked Cell" xfId="41"/>
    <cellStyle name="Neutral 2" xfId="42"/>
    <cellStyle name="Normal" xfId="0" builtinId="0"/>
    <cellStyle name="Normal 2" xfId="1"/>
    <cellStyle name="Normal 3" xfId="3"/>
    <cellStyle name="Normal_Hoja1" xfId="50"/>
    <cellStyle name="Normal_Hoja2" xfId="49"/>
    <cellStyle name="Note" xfId="43"/>
    <cellStyle name="Output" xfId="44"/>
    <cellStyle name="Sheet Title" xfId="45"/>
    <cellStyle name="Total 2" xfId="46"/>
    <cellStyle name="Warning Text" xfId="47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" formatCode="#,##0"/>
      <fill>
        <patternFill patternType="solid">
          <fgColor indexed="64"/>
          <bgColor theme="3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" formatCode="#,##0"/>
      <fill>
        <patternFill patternType="none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" formatCode="#,##0"/>
      <fill>
        <patternFill patternType="none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" formatCode="#,##0"/>
      <fill>
        <patternFill patternType="none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" formatCode="#,##0"/>
      <fill>
        <patternFill patternType="solid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" formatCode="#,##0"/>
      <fill>
        <patternFill patternType="solid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" formatCode="#,##0"/>
      <fill>
        <patternFill patternType="solid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22"/>
        </top>
        <bottom style="thin">
          <color indexed="22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solid">
          <fgColor indexed="64"/>
          <bgColor rgb="FFCC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solid">
          <fgColor indexed="64"/>
          <bgColor rgb="FFCC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solid">
          <fgColor indexed="64"/>
          <bgColor rgb="FFCC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solid">
          <fgColor indexed="64"/>
          <bgColor rgb="FFCC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omic Sans MS"/>
        <scheme val="none"/>
      </font>
      <numFmt numFmtId="3" formatCode="#,##0"/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mic Sans MS"/>
        <scheme val="none"/>
      </font>
      <fill>
        <patternFill patternType="solid">
          <fgColor indexed="64"/>
          <bgColor rgb="FFCCFFFF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name val="Arial"/>
        <scheme val="none"/>
      </font>
      <numFmt numFmtId="171" formatCode="#.##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la10" displayName="Tabla10" ref="B3:S21" headerRowCount="0" totalsRowShown="0" headerRowDxfId="118" dataDxfId="116" headerRowBorderDxfId="117" tableBorderDxfId="115" totalsRowBorderDxfId="114">
  <tableColumns count="18">
    <tableColumn id="1" name="Columna1" headerRowDxfId="113" dataDxfId="112" headerRowCellStyle="Normal 2" dataCellStyle="Normal 2"/>
    <tableColumn id="2" name="Columna2" headerRowDxfId="111" dataDxfId="110" headerRowCellStyle="Normal 2" dataCellStyle="Normal 2"/>
    <tableColumn id="3" name="Columna3" headerRowDxfId="109" dataDxfId="108" headerRowCellStyle="Normal 2" dataCellStyle="Normal 2"/>
    <tableColumn id="4" name="Columna4" headerRowDxfId="107" dataDxfId="106" headerRowCellStyle="Normal 2" dataCellStyle="Normal 2"/>
    <tableColumn id="5" name="Columna5" headerRowDxfId="105" dataDxfId="104" headerRowCellStyle="Normal 2" dataCellStyle="Normal 2"/>
    <tableColumn id="6" name="Columna6" headerRowDxfId="103" dataDxfId="102" headerRowCellStyle="Normal 2" dataCellStyle="Normal 2"/>
    <tableColumn id="7" name="Columna7" headerRowDxfId="101" dataDxfId="100" headerRowCellStyle="Normal 2" dataCellStyle="Normal 2"/>
    <tableColumn id="8" name="Columna8" headerRowDxfId="99" dataDxfId="98" headerRowCellStyle="Normal 2" dataCellStyle="Normal 2"/>
    <tableColumn id="9" name="Columna9" headerRowDxfId="97" dataDxfId="96" headerRowCellStyle="Normal 2" dataCellStyle="Normal 2"/>
    <tableColumn id="10" name="Columna10" headerRowDxfId="95" dataDxfId="94" headerRowCellStyle="Normal 2" dataCellStyle="Normal 2"/>
    <tableColumn id="11" name="Columna11" headerRowDxfId="93" dataDxfId="92"/>
    <tableColumn id="12" name="Columna12" headerRowDxfId="91" dataDxfId="90"/>
    <tableColumn id="13" name="Columna13" headerRowDxfId="89" dataDxfId="88" headerRowCellStyle="Normal 2" dataCellStyle="Normal 2"/>
    <tableColumn id="14" name="Columna14" headerRowDxfId="87" dataDxfId="86"/>
    <tableColumn id="15" name="Columna15" headerRowDxfId="85" dataDxfId="84"/>
    <tableColumn id="16" name="Columna16" headerRowDxfId="83" dataDxfId="82"/>
    <tableColumn id="17" name="Columna17" headerRowDxfId="81" dataDxfId="80"/>
    <tableColumn id="19" name="Columna19" headerRowDxfId="79" dataDxfId="78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A3:Y22" headerRowCount="0" totalsRowShown="0" headerRowDxfId="77" dataDxfId="76" tableBorderDxfId="75">
  <tableColumns count="25">
    <tableColumn id="1" name="Columna1" headerRowDxfId="74" dataDxfId="73" totalsRowDxfId="72" headerRowCellStyle="Normal_Hoja2" dataCellStyle="Normal_Hoja2"/>
    <tableColumn id="22" name="Columna22" headerRowDxfId="71" dataDxfId="70" totalsRowDxfId="69" headerRowCellStyle="Normal_Hoja2" dataCellStyle="Normal_Hoja2"/>
    <tableColumn id="21" name="Columna21" headerRowDxfId="68" dataDxfId="67" totalsRowDxfId="66" headerRowCellStyle="Normal_Hoja2" dataCellStyle="Normal_Hoja2"/>
    <tableColumn id="20" name="Columna20" headerRowDxfId="65" dataDxfId="64" totalsRowDxfId="63" headerRowCellStyle="Normal_Hoja2" dataCellStyle="Normal_Hoja2">
      <calculatedColumnFormula>SUM(Tabla7[[#This Row],[Columna22]:[Columna21]])</calculatedColumnFormula>
    </tableColumn>
    <tableColumn id="19" name="Columna19" headerRowDxfId="62" dataDxfId="61" totalsRowDxfId="60" headerRowCellStyle="Normal_Hoja2" dataCellStyle="Normal_Hoja2"/>
    <tableColumn id="18" name="Columna18" headerRowDxfId="59" dataDxfId="58" totalsRowDxfId="57" headerRowCellStyle="Normal_Hoja2" dataCellStyle="Normal_Hoja2"/>
    <tableColumn id="17" name="Columna17" headerRowDxfId="56" dataDxfId="55" totalsRowDxfId="54" headerRowCellStyle="Normal_Hoja2" dataCellStyle="Normal_Hoja2">
      <calculatedColumnFormula>SUM(Tabla7[[#This Row],[Columna19]:[Columna18]])</calculatedColumnFormula>
    </tableColumn>
    <tableColumn id="16" name="Columna16" headerRowDxfId="53" dataDxfId="52" totalsRowDxfId="51" headerRowCellStyle="Normal_Hoja2" dataCellStyle="Normal_Hoja2"/>
    <tableColumn id="15" name="Columna15" headerRowDxfId="50" dataDxfId="49" totalsRowDxfId="48" headerRowCellStyle="Normal_Hoja2" dataCellStyle="Normal_Hoja2"/>
    <tableColumn id="14" name="Columna14" headerRowDxfId="47" dataDxfId="46" totalsRowDxfId="45" headerRowCellStyle="Normal_Hoja2" dataCellStyle="Normal_Hoja2">
      <calculatedColumnFormula>SUM(Tabla7[[#This Row],[Columna16]:[Columna15]])</calculatedColumnFormula>
    </tableColumn>
    <tableColumn id="2" name="Columna2" headerRowDxfId="44" dataDxfId="43" totalsRowDxfId="42" headerRowCellStyle="Normal_Hoja2" dataCellStyle="Normal_Hoja2"/>
    <tableColumn id="3" name="Columna3" headerRowDxfId="41" dataDxfId="40" totalsRowDxfId="39" headerRowCellStyle="Normal_Hoja2" dataCellStyle="Normal_Hoja2"/>
    <tableColumn id="12" name="Columna12" headerRowDxfId="38" dataDxfId="37" totalsRowDxfId="36" headerRowCellStyle="Normal_Hoja2" dataCellStyle="Normal_Hoja2">
      <calculatedColumnFormula>SUM(Tabla7[[#This Row],[Columna2]:[Columna3]])</calculatedColumnFormula>
    </tableColumn>
    <tableColumn id="4" name="Columna4" headerRowDxfId="35" dataDxfId="34" totalsRowDxfId="33" headerRowCellStyle="Normal_Hoja1" dataCellStyle="Normal_Hoja1"/>
    <tableColumn id="5" name="Columna5" headerRowDxfId="32" dataDxfId="31" totalsRowDxfId="30" headerRowCellStyle="Normal_Hoja1" dataCellStyle="Normal_Hoja1"/>
    <tableColumn id="11" name="Columna11" headerRowDxfId="29" dataDxfId="28" totalsRowDxfId="27" headerRowCellStyle="Normal_Hoja1" dataCellStyle="Normal_Hoja1">
      <calculatedColumnFormula>SUM(Tabla7[[#This Row],[Columna4]:[Columna5]])</calculatedColumnFormula>
    </tableColumn>
    <tableColumn id="6" name="Columna6" headerRowDxfId="26" dataDxfId="25" totalsRowDxfId="24" headerRowCellStyle="Normal_Hoja2" dataCellStyle="Normal_Hoja2"/>
    <tableColumn id="7" name="Columna7" headerRowDxfId="23" dataDxfId="22" totalsRowDxfId="21" headerRowCellStyle="Normal_Hoja2" dataCellStyle="Normal_Hoja2"/>
    <tableColumn id="10" name="Columna10" headerRowDxfId="20" dataDxfId="19" totalsRowDxfId="18" headerRowCellStyle="Normal_Hoja2" dataCellStyle="Normal_Hoja2">
      <calculatedColumnFormula>SUM(Tabla7[[#This Row],[Columna6]:[Columna7]])</calculatedColumnFormula>
    </tableColumn>
    <tableColumn id="8" name="Columna8" headerRowDxfId="17" dataDxfId="16" totalsRowDxfId="15" dataCellStyle="Normal_Hoja2"/>
    <tableColumn id="9" name="Columna9" headerRowDxfId="14" dataDxfId="13" totalsRowDxfId="12" dataCellStyle="Normal_Hoja2"/>
    <tableColumn id="13" name="Columna13" headerRowDxfId="11" dataDxfId="10" totalsRowDxfId="9">
      <calculatedColumnFormula>SUM(Tabla7[[#This Row],[Columna8]:[Columna9]])</calculatedColumnFormula>
    </tableColumn>
    <tableColumn id="23" name="Columna23" headerRowDxfId="8" dataDxfId="7" totalsRowDxfId="6"/>
    <tableColumn id="24" name="Columna24" headerRowDxfId="5" dataDxfId="4" totalsRowDxfId="3"/>
    <tableColumn id="25" name="Columna25" headerRowDxfId="2" dataDxfId="1" totalsRowDxfId="0">
      <calculatedColumnFormula>+Tabla7[[#This Row],[Columna24]]+Tabla7[[#This Row],[Columna23]]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70" zoomScaleNormal="70" workbookViewId="0">
      <pane xSplit="1" topLeftCell="B1" activePane="topRight" state="frozen"/>
      <selection activeCell="U9" sqref="U9"/>
      <selection pane="topRight" activeCell="F29" sqref="F29"/>
    </sheetView>
  </sheetViews>
  <sheetFormatPr baseColWidth="10" defaultColWidth="35.33203125" defaultRowHeight="13.8" x14ac:dyDescent="0.25"/>
  <cols>
    <col min="1" max="1" width="33.33203125" style="11" bestFit="1" customWidth="1"/>
    <col min="2" max="2" width="9.109375" style="11" bestFit="1" customWidth="1"/>
    <col min="3" max="6" width="12" style="11" bestFit="1" customWidth="1"/>
    <col min="7" max="7" width="11" style="11" bestFit="1" customWidth="1"/>
    <col min="8" max="8" width="12" style="11" bestFit="1" customWidth="1"/>
    <col min="9" max="10" width="11" style="11" bestFit="1" customWidth="1"/>
    <col min="11" max="14" width="12" style="11" bestFit="1" customWidth="1"/>
    <col min="15" max="15" width="12" style="10" bestFit="1" customWidth="1"/>
    <col min="16" max="16" width="12.6640625" style="11" bestFit="1" customWidth="1"/>
    <col min="17" max="17" width="12" style="11" bestFit="1" customWidth="1"/>
    <col min="18" max="18" width="12.6640625" style="11" bestFit="1" customWidth="1"/>
    <col min="19" max="19" width="12.6640625" style="11" customWidth="1"/>
    <col min="20" max="16384" width="35.33203125" style="11"/>
  </cols>
  <sheetData>
    <row r="1" spans="1:19" ht="40.5" customHeight="1" thickBot="1" x14ac:dyDescent="0.3">
      <c r="A1" s="179"/>
      <c r="B1" s="181" t="s">
        <v>67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ht="25.95" customHeight="1" thickBot="1" x14ac:dyDescent="0.3">
      <c r="A2" s="180"/>
      <c r="B2" s="96">
        <v>2000</v>
      </c>
      <c r="C2" s="97">
        <v>2001</v>
      </c>
      <c r="D2" s="97">
        <v>2002</v>
      </c>
      <c r="E2" s="97">
        <v>2003</v>
      </c>
      <c r="F2" s="97">
        <v>2004</v>
      </c>
      <c r="G2" s="97">
        <v>2005</v>
      </c>
      <c r="H2" s="18" t="s">
        <v>19</v>
      </c>
      <c r="I2" s="18" t="s">
        <v>20</v>
      </c>
      <c r="J2" s="18" t="s">
        <v>21</v>
      </c>
      <c r="K2" s="18" t="s">
        <v>22</v>
      </c>
      <c r="L2" s="18" t="s">
        <v>23</v>
      </c>
      <c r="M2" s="18" t="s">
        <v>24</v>
      </c>
      <c r="N2" s="18" t="s">
        <v>25</v>
      </c>
      <c r="O2" s="98" t="s">
        <v>32</v>
      </c>
      <c r="P2" s="98" t="s">
        <v>37</v>
      </c>
      <c r="Q2" s="98" t="s">
        <v>40</v>
      </c>
      <c r="R2" s="120" t="s">
        <v>43</v>
      </c>
      <c r="S2" s="178" t="s">
        <v>68</v>
      </c>
    </row>
    <row r="3" spans="1:19" ht="20.399999999999999" x14ac:dyDescent="0.25">
      <c r="A3" s="36" t="s">
        <v>0</v>
      </c>
      <c r="B3" s="24">
        <v>467</v>
      </c>
      <c r="C3" s="25">
        <v>557</v>
      </c>
      <c r="D3" s="25">
        <v>582</v>
      </c>
      <c r="E3" s="25">
        <v>619</v>
      </c>
      <c r="F3" s="25">
        <v>615</v>
      </c>
      <c r="G3" s="25">
        <v>694</v>
      </c>
      <c r="H3" s="25">
        <v>918</v>
      </c>
      <c r="I3" s="25">
        <v>1027</v>
      </c>
      <c r="J3" s="25">
        <v>1169</v>
      </c>
      <c r="K3" s="25">
        <v>1324</v>
      </c>
      <c r="L3" s="26">
        <v>1489</v>
      </c>
      <c r="M3" s="26">
        <v>1896</v>
      </c>
      <c r="N3" s="25">
        <v>2182</v>
      </c>
      <c r="O3" s="27">
        <v>2657</v>
      </c>
      <c r="P3" s="20">
        <f>1696+17+17+1</f>
        <v>1731</v>
      </c>
      <c r="Q3" s="20">
        <v>3288</v>
      </c>
      <c r="R3" s="21">
        <v>3780</v>
      </c>
      <c r="S3" s="123">
        <v>4216</v>
      </c>
    </row>
    <row r="4" spans="1:19" ht="20.399999999999999" x14ac:dyDescent="0.25">
      <c r="A4" s="37" t="s">
        <v>26</v>
      </c>
      <c r="B4" s="24">
        <v>89</v>
      </c>
      <c r="C4" s="25">
        <v>81</v>
      </c>
      <c r="D4" s="25">
        <v>74</v>
      </c>
      <c r="E4" s="25">
        <v>95</v>
      </c>
      <c r="F4" s="25">
        <v>99</v>
      </c>
      <c r="G4" s="25">
        <v>143</v>
      </c>
      <c r="H4" s="25">
        <v>229</v>
      </c>
      <c r="I4" s="25">
        <v>207</v>
      </c>
      <c r="J4" s="25">
        <v>245</v>
      </c>
      <c r="K4" s="25">
        <v>252</v>
      </c>
      <c r="L4" s="26">
        <v>282</v>
      </c>
      <c r="M4" s="26">
        <v>360</v>
      </c>
      <c r="N4" s="25">
        <v>435</v>
      </c>
      <c r="O4" s="27">
        <v>581</v>
      </c>
      <c r="P4" s="20">
        <f>652+49+2</f>
        <v>703</v>
      </c>
      <c r="Q4" s="20">
        <v>793</v>
      </c>
      <c r="R4" s="21">
        <v>829</v>
      </c>
      <c r="S4" s="122">
        <v>884</v>
      </c>
    </row>
    <row r="5" spans="1:19" ht="20.399999999999999" x14ac:dyDescent="0.25">
      <c r="A5" s="37" t="s">
        <v>2</v>
      </c>
      <c r="B5" s="24">
        <v>145</v>
      </c>
      <c r="C5" s="25">
        <v>142</v>
      </c>
      <c r="D5" s="25">
        <v>104</v>
      </c>
      <c r="E5" s="25">
        <v>112</v>
      </c>
      <c r="F5" s="25">
        <v>110</v>
      </c>
      <c r="G5" s="25">
        <v>181</v>
      </c>
      <c r="H5" s="25">
        <v>266</v>
      </c>
      <c r="I5" s="25">
        <v>232</v>
      </c>
      <c r="J5" s="25">
        <v>283</v>
      </c>
      <c r="K5" s="25">
        <v>292</v>
      </c>
      <c r="L5" s="26">
        <v>341</v>
      </c>
      <c r="M5" s="26">
        <v>358</v>
      </c>
      <c r="N5" s="25">
        <v>377</v>
      </c>
      <c r="O5" s="27">
        <v>417</v>
      </c>
      <c r="P5" s="20">
        <v>498</v>
      </c>
      <c r="Q5" s="20">
        <v>512</v>
      </c>
      <c r="R5" s="21">
        <v>460</v>
      </c>
      <c r="S5" s="123">
        <v>501</v>
      </c>
    </row>
    <row r="6" spans="1:19" ht="20.399999999999999" x14ac:dyDescent="0.25">
      <c r="A6" s="37" t="s">
        <v>3</v>
      </c>
      <c r="B6" s="24">
        <v>91</v>
      </c>
      <c r="C6" s="25">
        <v>105</v>
      </c>
      <c r="D6" s="25">
        <v>122</v>
      </c>
      <c r="E6" s="25">
        <v>100</v>
      </c>
      <c r="F6" s="25">
        <v>151</v>
      </c>
      <c r="G6" s="25">
        <v>181</v>
      </c>
      <c r="H6" s="25">
        <v>229</v>
      </c>
      <c r="I6" s="25">
        <v>230</v>
      </c>
      <c r="J6" s="25">
        <v>243</v>
      </c>
      <c r="K6" s="25">
        <v>232</v>
      </c>
      <c r="L6" s="26">
        <v>220</v>
      </c>
      <c r="M6" s="26">
        <v>429</v>
      </c>
      <c r="N6" s="25">
        <v>561</v>
      </c>
      <c r="O6" s="27">
        <v>693</v>
      </c>
      <c r="P6" s="20">
        <v>1031</v>
      </c>
      <c r="Q6" s="20">
        <v>1127</v>
      </c>
      <c r="R6" s="21">
        <v>1297</v>
      </c>
      <c r="S6" s="122">
        <v>1336</v>
      </c>
    </row>
    <row r="7" spans="1:19" ht="20.399999999999999" x14ac:dyDescent="0.25">
      <c r="A7" s="37" t="s">
        <v>4</v>
      </c>
      <c r="B7" s="24">
        <v>190</v>
      </c>
      <c r="C7" s="25">
        <v>322</v>
      </c>
      <c r="D7" s="25">
        <v>350</v>
      </c>
      <c r="E7" s="25">
        <v>394</v>
      </c>
      <c r="F7" s="25">
        <v>534</v>
      </c>
      <c r="G7" s="25">
        <v>543</v>
      </c>
      <c r="H7" s="25">
        <v>623</v>
      </c>
      <c r="I7" s="25">
        <v>749</v>
      </c>
      <c r="J7" s="25">
        <v>828</v>
      </c>
      <c r="K7" s="25">
        <v>894</v>
      </c>
      <c r="L7" s="26">
        <v>941</v>
      </c>
      <c r="M7" s="26">
        <v>1029</v>
      </c>
      <c r="N7" s="25">
        <v>1097</v>
      </c>
      <c r="O7" s="27">
        <v>1051</v>
      </c>
      <c r="P7" s="20">
        <v>1148</v>
      </c>
      <c r="Q7" s="20">
        <v>1186</v>
      </c>
      <c r="R7" s="21">
        <v>1156</v>
      </c>
      <c r="S7" s="123">
        <v>1320</v>
      </c>
    </row>
    <row r="8" spans="1:19" ht="20.399999999999999" x14ac:dyDescent="0.25">
      <c r="A8" s="37" t="s">
        <v>5</v>
      </c>
      <c r="B8" s="24">
        <v>173</v>
      </c>
      <c r="C8" s="25">
        <v>202</v>
      </c>
      <c r="D8" s="25">
        <v>209</v>
      </c>
      <c r="E8" s="25">
        <v>223</v>
      </c>
      <c r="F8" s="25">
        <v>224</v>
      </c>
      <c r="G8" s="25">
        <v>186</v>
      </c>
      <c r="H8" s="25">
        <v>213</v>
      </c>
      <c r="I8" s="25">
        <v>238</v>
      </c>
      <c r="J8" s="25">
        <v>246</v>
      </c>
      <c r="K8" s="25">
        <v>247</v>
      </c>
      <c r="L8" s="26">
        <v>271</v>
      </c>
      <c r="M8" s="26">
        <v>300</v>
      </c>
      <c r="N8" s="25">
        <v>312</v>
      </c>
      <c r="O8" s="27">
        <v>311</v>
      </c>
      <c r="P8" s="20">
        <v>355</v>
      </c>
      <c r="Q8" s="20">
        <v>372</v>
      </c>
      <c r="R8" s="21">
        <v>485</v>
      </c>
      <c r="S8" s="122">
        <v>443</v>
      </c>
    </row>
    <row r="9" spans="1:19" ht="20.399999999999999" x14ac:dyDescent="0.25">
      <c r="A9" s="37" t="s">
        <v>27</v>
      </c>
      <c r="B9" s="24">
        <v>156</v>
      </c>
      <c r="C9" s="25">
        <v>199</v>
      </c>
      <c r="D9" s="25">
        <v>205</v>
      </c>
      <c r="E9" s="25">
        <v>263</v>
      </c>
      <c r="F9" s="25">
        <v>357</v>
      </c>
      <c r="G9" s="25">
        <v>375</v>
      </c>
      <c r="H9" s="25">
        <v>458</v>
      </c>
      <c r="I9" s="25">
        <v>495</v>
      </c>
      <c r="J9" s="25">
        <v>552</v>
      </c>
      <c r="K9" s="25">
        <v>590</v>
      </c>
      <c r="L9" s="26">
        <v>630</v>
      </c>
      <c r="M9" s="26">
        <v>682</v>
      </c>
      <c r="N9" s="25">
        <v>624</v>
      </c>
      <c r="O9" s="27">
        <v>747</v>
      </c>
      <c r="P9" s="20">
        <v>827</v>
      </c>
      <c r="Q9" s="20">
        <v>843</v>
      </c>
      <c r="R9" s="21">
        <v>995</v>
      </c>
      <c r="S9" s="123">
        <v>1125</v>
      </c>
    </row>
    <row r="10" spans="1:19" ht="20.399999999999999" x14ac:dyDescent="0.25">
      <c r="A10" s="37" t="s">
        <v>28</v>
      </c>
      <c r="B10" s="24">
        <v>240</v>
      </c>
      <c r="C10" s="25">
        <v>210</v>
      </c>
      <c r="D10" s="25">
        <v>274</v>
      </c>
      <c r="E10" s="25">
        <v>324</v>
      </c>
      <c r="F10" s="25">
        <v>412</v>
      </c>
      <c r="G10" s="25">
        <v>423</v>
      </c>
      <c r="H10" s="25">
        <v>463</v>
      </c>
      <c r="I10" s="25">
        <v>473</v>
      </c>
      <c r="J10" s="25">
        <v>466</v>
      </c>
      <c r="K10" s="25">
        <v>547</v>
      </c>
      <c r="L10" s="26">
        <v>660</v>
      </c>
      <c r="M10" s="26">
        <v>711</v>
      </c>
      <c r="N10" s="25">
        <v>865</v>
      </c>
      <c r="O10" s="27">
        <v>967</v>
      </c>
      <c r="P10" s="20">
        <v>1103</v>
      </c>
      <c r="Q10" s="20">
        <v>1189</v>
      </c>
      <c r="R10" s="21">
        <v>1226</v>
      </c>
      <c r="S10" s="122">
        <v>1340</v>
      </c>
    </row>
    <row r="11" spans="1:19" ht="20.399999999999999" x14ac:dyDescent="0.25">
      <c r="A11" s="37" t="s">
        <v>8</v>
      </c>
      <c r="B11" s="24">
        <v>475</v>
      </c>
      <c r="C11" s="25">
        <v>763</v>
      </c>
      <c r="D11" s="25">
        <v>813</v>
      </c>
      <c r="E11" s="25">
        <v>827</v>
      </c>
      <c r="F11" s="25">
        <v>1034</v>
      </c>
      <c r="G11" s="25">
        <v>1116</v>
      </c>
      <c r="H11" s="25">
        <v>1233</v>
      </c>
      <c r="I11" s="25">
        <v>1752</v>
      </c>
      <c r="J11" s="25">
        <v>2170</v>
      </c>
      <c r="K11" s="25">
        <v>2549</v>
      </c>
      <c r="L11" s="26">
        <v>3282</v>
      </c>
      <c r="M11" s="26">
        <v>3525</v>
      </c>
      <c r="N11" s="25">
        <v>5143</v>
      </c>
      <c r="O11" s="27">
        <v>4857</v>
      </c>
      <c r="P11" s="20">
        <v>726</v>
      </c>
      <c r="Q11" s="20">
        <v>5385</v>
      </c>
      <c r="R11" s="21">
        <v>2082</v>
      </c>
      <c r="S11" s="123">
        <v>3491</v>
      </c>
    </row>
    <row r="12" spans="1:19" ht="20.399999999999999" x14ac:dyDescent="0.25">
      <c r="A12" s="37" t="s">
        <v>9</v>
      </c>
      <c r="B12" s="24">
        <v>576</v>
      </c>
      <c r="C12" s="25">
        <v>595</v>
      </c>
      <c r="D12" s="25">
        <v>614</v>
      </c>
      <c r="E12" s="25">
        <v>692</v>
      </c>
      <c r="F12" s="25">
        <v>830</v>
      </c>
      <c r="G12" s="25">
        <v>906</v>
      </c>
      <c r="H12" s="25">
        <v>1064</v>
      </c>
      <c r="I12" s="25">
        <v>1200</v>
      </c>
      <c r="J12" s="25">
        <v>1315</v>
      </c>
      <c r="K12" s="25">
        <v>1302</v>
      </c>
      <c r="L12" s="26">
        <v>1406</v>
      </c>
      <c r="M12" s="26">
        <v>1587</v>
      </c>
      <c r="N12" s="25">
        <v>1720</v>
      </c>
      <c r="O12" s="27">
        <v>2039</v>
      </c>
      <c r="P12" s="20">
        <v>646</v>
      </c>
      <c r="Q12" s="20">
        <v>2406</v>
      </c>
      <c r="R12" s="21">
        <v>2461</v>
      </c>
      <c r="S12" s="123">
        <v>2443</v>
      </c>
    </row>
    <row r="13" spans="1:19" ht="20.399999999999999" x14ac:dyDescent="0.25">
      <c r="A13" s="37" t="s">
        <v>10</v>
      </c>
      <c r="B13" s="24">
        <v>152</v>
      </c>
      <c r="C13" s="25">
        <v>176</v>
      </c>
      <c r="D13" s="25">
        <v>146</v>
      </c>
      <c r="E13" s="25">
        <v>118</v>
      </c>
      <c r="F13" s="25">
        <v>150</v>
      </c>
      <c r="G13" s="25">
        <v>134</v>
      </c>
      <c r="H13" s="25">
        <v>135</v>
      </c>
      <c r="I13" s="25">
        <v>164</v>
      </c>
      <c r="J13" s="25">
        <v>190</v>
      </c>
      <c r="K13" s="25">
        <v>187</v>
      </c>
      <c r="L13" s="26">
        <v>190</v>
      </c>
      <c r="M13" s="26">
        <v>190</v>
      </c>
      <c r="N13" s="25">
        <v>233</v>
      </c>
      <c r="O13" s="27">
        <v>289</v>
      </c>
      <c r="P13" s="20">
        <v>371</v>
      </c>
      <c r="Q13" s="20">
        <v>448</v>
      </c>
      <c r="R13" s="21">
        <v>516</v>
      </c>
      <c r="S13" s="122">
        <v>573</v>
      </c>
    </row>
    <row r="14" spans="1:19" ht="20.399999999999999" x14ac:dyDescent="0.25">
      <c r="A14" s="37" t="s">
        <v>11</v>
      </c>
      <c r="B14" s="24">
        <v>212</v>
      </c>
      <c r="C14" s="25">
        <v>252</v>
      </c>
      <c r="D14" s="25">
        <v>272</v>
      </c>
      <c r="E14" s="25">
        <v>295</v>
      </c>
      <c r="F14" s="25">
        <v>325</v>
      </c>
      <c r="G14" s="25">
        <v>365</v>
      </c>
      <c r="H14" s="25">
        <v>456</v>
      </c>
      <c r="I14" s="25">
        <v>556</v>
      </c>
      <c r="J14" s="25">
        <v>565</v>
      </c>
      <c r="K14" s="25">
        <v>619</v>
      </c>
      <c r="L14" s="26">
        <v>764</v>
      </c>
      <c r="M14" s="26">
        <v>835</v>
      </c>
      <c r="N14" s="25">
        <v>919</v>
      </c>
      <c r="O14" s="27">
        <v>1246</v>
      </c>
      <c r="P14" s="20">
        <v>1634</v>
      </c>
      <c r="Q14" s="20">
        <v>1806</v>
      </c>
      <c r="R14" s="21">
        <v>1974</v>
      </c>
      <c r="S14" s="123">
        <v>2123</v>
      </c>
    </row>
    <row r="15" spans="1:19" ht="20.399999999999999" x14ac:dyDescent="0.25">
      <c r="A15" s="37" t="s">
        <v>12</v>
      </c>
      <c r="B15" s="24">
        <v>444</v>
      </c>
      <c r="C15" s="25">
        <v>513</v>
      </c>
      <c r="D15" s="25">
        <v>549</v>
      </c>
      <c r="E15" s="25">
        <v>499</v>
      </c>
      <c r="F15" s="25">
        <v>615</v>
      </c>
      <c r="G15" s="25">
        <v>730</v>
      </c>
      <c r="H15" s="25">
        <v>925</v>
      </c>
      <c r="I15" s="25">
        <v>1143</v>
      </c>
      <c r="J15" s="25">
        <v>1349</v>
      </c>
      <c r="K15" s="25">
        <v>1740</v>
      </c>
      <c r="L15" s="26">
        <v>2278</v>
      </c>
      <c r="M15" s="26">
        <v>2580</v>
      </c>
      <c r="N15" s="25">
        <v>2721</v>
      </c>
      <c r="O15" s="27">
        <v>3214</v>
      </c>
      <c r="P15" s="20">
        <v>3437</v>
      </c>
      <c r="Q15" s="20">
        <v>4010</v>
      </c>
      <c r="R15" s="21">
        <v>4331</v>
      </c>
      <c r="S15" s="122">
        <v>4568</v>
      </c>
    </row>
    <row r="16" spans="1:19" ht="20.399999999999999" x14ac:dyDescent="0.25">
      <c r="A16" s="37" t="s">
        <v>13</v>
      </c>
      <c r="B16" s="24">
        <v>146</v>
      </c>
      <c r="C16" s="25">
        <v>177</v>
      </c>
      <c r="D16" s="25">
        <v>224</v>
      </c>
      <c r="E16" s="25">
        <v>235</v>
      </c>
      <c r="F16" s="25">
        <v>291</v>
      </c>
      <c r="G16" s="25">
        <v>338</v>
      </c>
      <c r="H16" s="25">
        <v>359</v>
      </c>
      <c r="I16" s="25">
        <v>401</v>
      </c>
      <c r="J16" s="25">
        <v>421</v>
      </c>
      <c r="K16" s="25">
        <v>532</v>
      </c>
      <c r="L16" s="26">
        <v>594</v>
      </c>
      <c r="M16" s="26">
        <v>706</v>
      </c>
      <c r="N16" s="25">
        <v>777</v>
      </c>
      <c r="O16" s="27">
        <v>896</v>
      </c>
      <c r="P16" s="20">
        <v>1043</v>
      </c>
      <c r="Q16" s="20">
        <v>1138</v>
      </c>
      <c r="R16" s="21">
        <v>1256</v>
      </c>
      <c r="S16" s="123">
        <v>1370</v>
      </c>
    </row>
    <row r="17" spans="1:19" ht="20.399999999999999" x14ac:dyDescent="0.25">
      <c r="A17" s="37" t="s">
        <v>14</v>
      </c>
      <c r="B17" s="24">
        <v>39</v>
      </c>
      <c r="C17" s="25">
        <v>107</v>
      </c>
      <c r="D17" s="25">
        <v>120</v>
      </c>
      <c r="E17" s="25">
        <v>103</v>
      </c>
      <c r="F17" s="25">
        <v>209</v>
      </c>
      <c r="G17" s="25">
        <v>177</v>
      </c>
      <c r="H17" s="25">
        <v>242</v>
      </c>
      <c r="I17" s="25">
        <v>281</v>
      </c>
      <c r="J17" s="25">
        <v>287</v>
      </c>
      <c r="K17" s="25">
        <v>396</v>
      </c>
      <c r="L17" s="26">
        <v>407</v>
      </c>
      <c r="M17" s="26">
        <v>409</v>
      </c>
      <c r="N17" s="25">
        <v>486</v>
      </c>
      <c r="O17" s="27">
        <v>951</v>
      </c>
      <c r="P17" s="20">
        <v>987</v>
      </c>
      <c r="Q17" s="20">
        <v>1084</v>
      </c>
      <c r="R17" s="21">
        <v>825</v>
      </c>
      <c r="S17" s="122">
        <v>864</v>
      </c>
    </row>
    <row r="18" spans="1:19" ht="20.399999999999999" x14ac:dyDescent="0.25">
      <c r="A18" s="37" t="s">
        <v>29</v>
      </c>
      <c r="B18" s="24">
        <v>14</v>
      </c>
      <c r="C18" s="25">
        <v>10</v>
      </c>
      <c r="D18" s="25">
        <v>15</v>
      </c>
      <c r="E18" s="25">
        <v>20</v>
      </c>
      <c r="F18" s="25">
        <v>23</v>
      </c>
      <c r="G18" s="25">
        <v>19</v>
      </c>
      <c r="H18" s="25">
        <v>22</v>
      </c>
      <c r="I18" s="25">
        <v>34</v>
      </c>
      <c r="J18" s="25">
        <v>35</v>
      </c>
      <c r="K18" s="25">
        <v>35</v>
      </c>
      <c r="L18" s="26">
        <v>59</v>
      </c>
      <c r="M18" s="26">
        <v>74</v>
      </c>
      <c r="N18" s="25">
        <v>95</v>
      </c>
      <c r="O18" s="27">
        <v>125</v>
      </c>
      <c r="P18" s="20">
        <f>108+21</f>
        <v>129</v>
      </c>
      <c r="Q18" s="20">
        <v>144</v>
      </c>
      <c r="R18" s="21">
        <v>159</v>
      </c>
      <c r="S18" s="123">
        <v>152</v>
      </c>
    </row>
    <row r="19" spans="1:19" ht="20.399999999999999" x14ac:dyDescent="0.25">
      <c r="A19" s="37" t="s">
        <v>16</v>
      </c>
      <c r="B19" s="24">
        <v>430</v>
      </c>
      <c r="C19" s="25">
        <v>548</v>
      </c>
      <c r="D19" s="25">
        <v>613</v>
      </c>
      <c r="E19" s="25">
        <v>739</v>
      </c>
      <c r="F19" s="25">
        <v>987</v>
      </c>
      <c r="G19" s="25">
        <v>1097</v>
      </c>
      <c r="H19" s="25">
        <v>1280</v>
      </c>
      <c r="I19" s="25">
        <v>1390</v>
      </c>
      <c r="J19" s="25">
        <v>1573</v>
      </c>
      <c r="K19" s="25">
        <v>1875</v>
      </c>
      <c r="L19" s="26">
        <v>2135</v>
      </c>
      <c r="M19" s="26">
        <v>2287</v>
      </c>
      <c r="N19" s="25">
        <v>2343</v>
      </c>
      <c r="O19" s="27">
        <v>3014</v>
      </c>
      <c r="P19" s="20">
        <v>3461</v>
      </c>
      <c r="Q19" s="20">
        <v>3834</v>
      </c>
      <c r="R19" s="21">
        <v>3723</v>
      </c>
      <c r="S19" s="122">
        <v>3776</v>
      </c>
    </row>
    <row r="20" spans="1:19" ht="20.399999999999999" x14ac:dyDescent="0.25">
      <c r="A20" s="37" t="s">
        <v>17</v>
      </c>
      <c r="B20" s="24">
        <v>0</v>
      </c>
      <c r="C20" s="25">
        <v>24</v>
      </c>
      <c r="D20" s="25">
        <v>50</v>
      </c>
      <c r="E20" s="25">
        <v>48</v>
      </c>
      <c r="F20" s="25">
        <v>100</v>
      </c>
      <c r="G20" s="25">
        <v>92</v>
      </c>
      <c r="H20" s="25">
        <v>87</v>
      </c>
      <c r="I20" s="25">
        <v>68</v>
      </c>
      <c r="J20" s="25">
        <v>59</v>
      </c>
      <c r="K20" s="25">
        <v>66</v>
      </c>
      <c r="L20" s="26">
        <v>61</v>
      </c>
      <c r="M20" s="26">
        <v>57</v>
      </c>
      <c r="N20" s="25">
        <v>52</v>
      </c>
      <c r="O20" s="27">
        <v>36</v>
      </c>
      <c r="P20" s="20">
        <f>16+6+1</f>
        <v>23</v>
      </c>
      <c r="Q20" s="20">
        <v>26</v>
      </c>
      <c r="R20" s="21">
        <v>47</v>
      </c>
      <c r="S20" s="122">
        <v>46</v>
      </c>
    </row>
    <row r="21" spans="1:19" ht="20.399999999999999" x14ac:dyDescent="0.25">
      <c r="A21" s="37" t="s">
        <v>18</v>
      </c>
      <c r="B21" s="28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0">
        <v>34</v>
      </c>
      <c r="M21" s="30">
        <v>122</v>
      </c>
      <c r="N21" s="29">
        <v>137</v>
      </c>
      <c r="O21" s="31">
        <v>150</v>
      </c>
      <c r="P21" s="22">
        <f>116+28+2</f>
        <v>146</v>
      </c>
      <c r="Q21" s="22">
        <v>144</v>
      </c>
      <c r="R21" s="23">
        <v>158</v>
      </c>
      <c r="S21" s="123">
        <v>173</v>
      </c>
    </row>
    <row r="22" spans="1:19" s="1" customFormat="1" ht="22.8" x14ac:dyDescent="0.3">
      <c r="A22" s="16" t="s">
        <v>30</v>
      </c>
      <c r="B22" s="32">
        <v>4036</v>
      </c>
      <c r="C22" s="19">
        <v>4983</v>
      </c>
      <c r="D22" s="19">
        <v>5336</v>
      </c>
      <c r="E22" s="19">
        <v>5706</v>
      </c>
      <c r="F22" s="19">
        <v>7066</v>
      </c>
      <c r="G22" s="19">
        <v>7700</v>
      </c>
      <c r="H22" s="19">
        <v>9202</v>
      </c>
      <c r="I22" s="19">
        <v>10640</v>
      </c>
      <c r="J22" s="19">
        <v>11996</v>
      </c>
      <c r="K22" s="19">
        <v>13779</v>
      </c>
      <c r="L22" s="19">
        <v>16044</v>
      </c>
      <c r="M22" s="19">
        <v>18137</v>
      </c>
      <c r="N22" s="19">
        <f t="shared" ref="N22:R22" si="0">SUM(N3:N21)</f>
        <v>21079</v>
      </c>
      <c r="O22" s="33">
        <f t="shared" si="0"/>
        <v>24241</v>
      </c>
      <c r="P22" s="33">
        <f t="shared" si="0"/>
        <v>19999</v>
      </c>
      <c r="Q22" s="33">
        <f t="shared" si="0"/>
        <v>29735</v>
      </c>
      <c r="R22" s="121">
        <f t="shared" si="0"/>
        <v>27760</v>
      </c>
      <c r="S22" s="121">
        <f>SUM(S3:S21)</f>
        <v>30744</v>
      </c>
    </row>
    <row r="23" spans="1:19" x14ac:dyDescent="0.25">
      <c r="O23" s="34"/>
    </row>
    <row r="24" spans="1:19" x14ac:dyDescent="0.25">
      <c r="O24" s="35"/>
    </row>
    <row r="25" spans="1:19" x14ac:dyDescent="0.25">
      <c r="O25" s="35"/>
    </row>
    <row r="26" spans="1:19" x14ac:dyDescent="0.25">
      <c r="O26" s="35"/>
    </row>
    <row r="27" spans="1:19" x14ac:dyDescent="0.25">
      <c r="O27" s="35"/>
    </row>
    <row r="28" spans="1:19" x14ac:dyDescent="0.25">
      <c r="O28" s="35"/>
    </row>
    <row r="29" spans="1:19" x14ac:dyDescent="0.25">
      <c r="O29" s="35"/>
    </row>
    <row r="30" spans="1:19" x14ac:dyDescent="0.25">
      <c r="O30" s="35"/>
    </row>
    <row r="31" spans="1:19" x14ac:dyDescent="0.25">
      <c r="O31" s="35"/>
    </row>
    <row r="32" spans="1:19" x14ac:dyDescent="0.25">
      <c r="O32" s="35"/>
    </row>
    <row r="33" spans="15:15" x14ac:dyDescent="0.25">
      <c r="O33" s="35"/>
    </row>
    <row r="34" spans="15:15" x14ac:dyDescent="0.25">
      <c r="O34" s="35"/>
    </row>
    <row r="35" spans="15:15" x14ac:dyDescent="0.25">
      <c r="O35" s="35"/>
    </row>
  </sheetData>
  <mergeCells count="1">
    <mergeCell ref="B1:S1"/>
  </mergeCells>
  <printOptions horizontalCentered="1" verticalCentered="1"/>
  <pageMargins left="0" right="0" top="0" bottom="0" header="3.1496062992125986" footer="0"/>
  <pageSetup paperSize="9" scale="4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zoomScale="85" zoomScaleNormal="85" workbookViewId="0">
      <selection activeCell="H19" sqref="H19"/>
    </sheetView>
  </sheetViews>
  <sheetFormatPr baseColWidth="10" defaultRowHeight="14.4" x14ac:dyDescent="0.3"/>
  <cols>
    <col min="1" max="1" width="14.6640625" bestFit="1" customWidth="1"/>
    <col min="2" max="18" width="10.6640625" customWidth="1"/>
  </cols>
  <sheetData>
    <row r="1" spans="1:20" ht="19.95" customHeight="1" x14ac:dyDescent="0.3">
      <c r="B1" s="124" t="s">
        <v>69</v>
      </c>
      <c r="C1" s="125" t="s">
        <v>70</v>
      </c>
      <c r="D1" s="125" t="s">
        <v>71</v>
      </c>
      <c r="E1" s="125" t="s">
        <v>72</v>
      </c>
      <c r="F1" s="125" t="s">
        <v>73</v>
      </c>
      <c r="G1" s="125" t="s">
        <v>74</v>
      </c>
      <c r="H1" s="125" t="s">
        <v>75</v>
      </c>
      <c r="I1" s="125" t="s">
        <v>20</v>
      </c>
      <c r="J1" s="125" t="s">
        <v>76</v>
      </c>
      <c r="K1" s="125" t="s">
        <v>77</v>
      </c>
      <c r="L1" s="125" t="s">
        <v>23</v>
      </c>
      <c r="M1" s="125" t="s">
        <v>24</v>
      </c>
      <c r="N1" s="125" t="s">
        <v>25</v>
      </c>
      <c r="O1" s="126" t="s">
        <v>32</v>
      </c>
      <c r="P1" s="126" t="s">
        <v>37</v>
      </c>
      <c r="Q1" s="126" t="s">
        <v>40</v>
      </c>
      <c r="R1" s="127" t="s">
        <v>43</v>
      </c>
      <c r="S1" s="127" t="s">
        <v>68</v>
      </c>
    </row>
    <row r="2" spans="1:20" ht="19.95" customHeight="1" x14ac:dyDescent="0.3">
      <c r="A2" s="128" t="s">
        <v>38</v>
      </c>
      <c r="B2" s="129">
        <v>3448</v>
      </c>
      <c r="C2" s="129">
        <v>4305</v>
      </c>
      <c r="D2" s="129">
        <v>4623</v>
      </c>
      <c r="E2" s="129">
        <v>5290</v>
      </c>
      <c r="F2" s="129">
        <v>6276</v>
      </c>
      <c r="G2" s="129">
        <v>6661</v>
      </c>
      <c r="H2" s="129">
        <v>7777</v>
      </c>
      <c r="I2" s="129">
        <v>8725</v>
      </c>
      <c r="J2" s="129">
        <v>10203</v>
      </c>
      <c r="K2" s="129">
        <v>11486</v>
      </c>
      <c r="L2" s="129">
        <v>13721</v>
      </c>
      <c r="M2" s="129">
        <v>15576</v>
      </c>
      <c r="N2" s="129">
        <v>17802</v>
      </c>
      <c r="O2" s="129">
        <v>20434</v>
      </c>
      <c r="P2" s="129">
        <v>16606</v>
      </c>
      <c r="Q2" s="129">
        <v>24724</v>
      </c>
      <c r="R2" s="129">
        <v>22840</v>
      </c>
      <c r="S2" s="129">
        <f>23686+338+704</f>
        <v>24728</v>
      </c>
      <c r="T2" s="130"/>
    </row>
    <row r="3" spans="1:20" ht="19.95" customHeight="1" x14ac:dyDescent="0.3">
      <c r="A3" s="128" t="s">
        <v>39</v>
      </c>
      <c r="B3" s="131">
        <v>588</v>
      </c>
      <c r="C3" s="131">
        <v>652</v>
      </c>
      <c r="D3" s="131">
        <v>713</v>
      </c>
      <c r="E3" s="131">
        <v>793</v>
      </c>
      <c r="F3" s="131">
        <v>790</v>
      </c>
      <c r="G3" s="131">
        <v>1032</v>
      </c>
      <c r="H3" s="131">
        <v>1385</v>
      </c>
      <c r="I3" s="131">
        <v>1570</v>
      </c>
      <c r="J3" s="131">
        <v>1793</v>
      </c>
      <c r="K3" s="131">
        <v>1963</v>
      </c>
      <c r="L3" s="131">
        <v>2323</v>
      </c>
      <c r="M3" s="131">
        <v>2561</v>
      </c>
      <c r="N3" s="131">
        <v>3277</v>
      </c>
      <c r="O3" s="131">
        <v>3807</v>
      </c>
      <c r="P3" s="131">
        <v>3393</v>
      </c>
      <c r="Q3" s="131">
        <v>5016</v>
      </c>
      <c r="R3" s="131">
        <v>4920</v>
      </c>
      <c r="S3" s="131">
        <f>5534+44+438</f>
        <v>6016</v>
      </c>
      <c r="T3" s="130"/>
    </row>
    <row r="4" spans="1:20" x14ac:dyDescent="0.3">
      <c r="S4" s="130"/>
    </row>
    <row r="5" spans="1:20" x14ac:dyDescent="0.3">
      <c r="S5" s="130"/>
      <c r="T5" s="130"/>
    </row>
  </sheetData>
  <pageMargins left="0.70866141732283472" right="0.70866141732283472" top="0.74803149606299213" bottom="0.74803149606299213" header="0.31496062992125984" footer="0.31496062992125984"/>
  <pageSetup paperSize="9" scale="67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zoomScale="70" zoomScaleNormal="70" workbookViewId="0">
      <pane xSplit="1" topLeftCell="W1" activePane="topRight" state="frozen"/>
      <selection activeCell="T16" sqref="T16"/>
      <selection pane="topRight" activeCell="AN1" sqref="AN1:AN1048576"/>
    </sheetView>
  </sheetViews>
  <sheetFormatPr baseColWidth="10" defaultColWidth="35.33203125" defaultRowHeight="13.8" x14ac:dyDescent="0.3"/>
  <cols>
    <col min="1" max="1" width="33.33203125" style="1" bestFit="1" customWidth="1"/>
    <col min="2" max="2" width="10.33203125" style="1" hidden="1" customWidth="1"/>
    <col min="3" max="3" width="12.5546875" style="1" hidden="1" customWidth="1"/>
    <col min="4" max="5" width="10.33203125" style="1" hidden="1" customWidth="1"/>
    <col min="6" max="6" width="12.5546875" style="1" hidden="1" customWidth="1"/>
    <col min="7" max="7" width="10.33203125" style="1" hidden="1" customWidth="1"/>
    <col min="8" max="8" width="10.44140625" style="1" hidden="1" customWidth="1"/>
    <col min="9" max="9" width="12.109375" style="1" hidden="1" customWidth="1"/>
    <col min="10" max="10" width="16" style="7" customWidth="1"/>
    <col min="11" max="11" width="14.5546875" style="7" customWidth="1"/>
    <col min="12" max="12" width="12.109375" style="1" customWidth="1"/>
    <col min="13" max="13" width="16" style="7" customWidth="1"/>
    <col min="14" max="14" width="14.5546875" style="7" customWidth="1"/>
    <col min="15" max="15" width="12.109375" style="1" customWidth="1"/>
    <col min="16" max="16" width="16" style="7" customWidth="1"/>
    <col min="17" max="17" width="14.5546875" style="7" customWidth="1"/>
    <col min="18" max="18" width="12.109375" style="1" customWidth="1"/>
    <col min="19" max="19" width="16" style="7" customWidth="1"/>
    <col min="20" max="20" width="14.5546875" style="7" customWidth="1"/>
    <col min="21" max="21" width="13.33203125" style="168" customWidth="1"/>
    <col min="22" max="22" width="16" style="167" customWidth="1"/>
    <col min="23" max="23" width="14.5546875" style="167" customWidth="1"/>
    <col min="24" max="24" width="13" style="1" customWidth="1"/>
    <col min="25" max="25" width="16" style="7" customWidth="1"/>
    <col min="26" max="26" width="14.5546875" style="7" customWidth="1"/>
    <col min="27" max="27" width="12.6640625" style="1" customWidth="1"/>
    <col min="28" max="28" width="16" style="7" customWidth="1"/>
    <col min="29" max="29" width="14.5546875" style="7" customWidth="1"/>
    <col min="30" max="30" width="12.44140625" style="1" customWidth="1"/>
    <col min="31" max="31" width="16" style="7" bestFit="1" customWidth="1"/>
    <col min="32" max="32" width="14.5546875" style="7" bestFit="1" customWidth="1"/>
    <col min="33" max="33" width="12.44140625" style="1" bestFit="1" customWidth="1"/>
    <col min="34" max="39" width="15.6640625" style="1" customWidth="1"/>
    <col min="40" max="16384" width="35.33203125" style="1"/>
  </cols>
  <sheetData>
    <row r="1" spans="1:39" ht="25.2" thickBot="1" x14ac:dyDescent="0.35">
      <c r="A1" s="2"/>
      <c r="B1" s="132">
        <v>2000</v>
      </c>
      <c r="C1" s="133">
        <v>2001</v>
      </c>
      <c r="D1" s="133">
        <v>2002</v>
      </c>
      <c r="E1" s="133">
        <v>2003</v>
      </c>
      <c r="F1" s="133">
        <v>2004</v>
      </c>
      <c r="G1" s="133">
        <v>2005</v>
      </c>
      <c r="H1" s="134" t="s">
        <v>19</v>
      </c>
      <c r="I1" s="135" t="s">
        <v>20</v>
      </c>
      <c r="J1" s="186" t="s">
        <v>21</v>
      </c>
      <c r="K1" s="187"/>
      <c r="L1" s="188"/>
      <c r="M1" s="186" t="s">
        <v>22</v>
      </c>
      <c r="N1" s="187"/>
      <c r="O1" s="188"/>
      <c r="P1" s="186" t="s">
        <v>23</v>
      </c>
      <c r="Q1" s="187"/>
      <c r="R1" s="187"/>
      <c r="S1" s="186" t="s">
        <v>24</v>
      </c>
      <c r="T1" s="187"/>
      <c r="U1" s="188"/>
      <c r="V1" s="186" t="s">
        <v>25</v>
      </c>
      <c r="W1" s="187"/>
      <c r="X1" s="188"/>
      <c r="Y1" s="183" t="s">
        <v>32</v>
      </c>
      <c r="Z1" s="184"/>
      <c r="AA1" s="185"/>
      <c r="AB1" s="183" t="s">
        <v>37</v>
      </c>
      <c r="AC1" s="184"/>
      <c r="AD1" s="185"/>
      <c r="AE1" s="183" t="s">
        <v>40</v>
      </c>
      <c r="AF1" s="184"/>
      <c r="AG1" s="185"/>
      <c r="AH1" s="183" t="s">
        <v>43</v>
      </c>
      <c r="AI1" s="184"/>
      <c r="AJ1" s="185"/>
      <c r="AK1" s="183" t="s">
        <v>68</v>
      </c>
      <c r="AL1" s="184"/>
      <c r="AM1" s="185"/>
    </row>
    <row r="2" spans="1:39" ht="23.4" thickBot="1" x14ac:dyDescent="0.35">
      <c r="A2" s="3"/>
      <c r="B2" s="132"/>
      <c r="C2" s="133"/>
      <c r="D2" s="133"/>
      <c r="E2" s="133"/>
      <c r="F2" s="133"/>
      <c r="G2" s="133"/>
      <c r="H2" s="134"/>
      <c r="I2" s="134"/>
      <c r="J2" s="136" t="s">
        <v>38</v>
      </c>
      <c r="K2" s="136" t="s">
        <v>39</v>
      </c>
      <c r="L2" s="18" t="s">
        <v>33</v>
      </c>
      <c r="M2" s="136" t="s">
        <v>38</v>
      </c>
      <c r="N2" s="136" t="s">
        <v>39</v>
      </c>
      <c r="O2" s="18" t="s">
        <v>33</v>
      </c>
      <c r="P2" s="136" t="s">
        <v>38</v>
      </c>
      <c r="Q2" s="136" t="s">
        <v>39</v>
      </c>
      <c r="R2" s="18" t="s">
        <v>33</v>
      </c>
      <c r="S2" s="136" t="s">
        <v>38</v>
      </c>
      <c r="T2" s="136" t="s">
        <v>39</v>
      </c>
      <c r="U2" s="18" t="s">
        <v>33</v>
      </c>
      <c r="V2" s="136" t="s">
        <v>38</v>
      </c>
      <c r="W2" s="136" t="s">
        <v>39</v>
      </c>
      <c r="X2" s="18" t="s">
        <v>33</v>
      </c>
      <c r="Y2" s="136" t="s">
        <v>38</v>
      </c>
      <c r="Z2" s="136" t="s">
        <v>39</v>
      </c>
      <c r="AA2" s="18" t="s">
        <v>33</v>
      </c>
      <c r="AB2" s="136" t="s">
        <v>38</v>
      </c>
      <c r="AC2" s="136" t="s">
        <v>39</v>
      </c>
      <c r="AD2" s="18" t="s">
        <v>33</v>
      </c>
      <c r="AE2" s="136" t="s">
        <v>38</v>
      </c>
      <c r="AF2" s="136" t="s">
        <v>39</v>
      </c>
      <c r="AG2" s="18" t="s">
        <v>33</v>
      </c>
      <c r="AH2" s="136" t="s">
        <v>38</v>
      </c>
      <c r="AI2" s="136" t="s">
        <v>39</v>
      </c>
      <c r="AJ2" s="18" t="s">
        <v>33</v>
      </c>
      <c r="AK2" s="136" t="s">
        <v>38</v>
      </c>
      <c r="AL2" s="136" t="s">
        <v>39</v>
      </c>
      <c r="AM2" s="18" t="s">
        <v>33</v>
      </c>
    </row>
    <row r="3" spans="1:39" ht="20.399999999999999" x14ac:dyDescent="0.3">
      <c r="A3" s="13" t="s">
        <v>0</v>
      </c>
      <c r="B3" s="137">
        <v>467</v>
      </c>
      <c r="C3" s="138">
        <v>557</v>
      </c>
      <c r="D3" s="138">
        <v>582</v>
      </c>
      <c r="E3" s="138">
        <v>619</v>
      </c>
      <c r="F3" s="138">
        <v>615</v>
      </c>
      <c r="G3" s="138">
        <v>694</v>
      </c>
      <c r="H3" s="138">
        <v>918</v>
      </c>
      <c r="I3" s="139">
        <v>1027</v>
      </c>
      <c r="J3" s="140">
        <v>989</v>
      </c>
      <c r="K3" s="140">
        <v>180</v>
      </c>
      <c r="L3" s="141">
        <v>1169</v>
      </c>
      <c r="M3" s="142">
        <v>1163</v>
      </c>
      <c r="N3" s="142">
        <v>161</v>
      </c>
      <c r="O3" s="141">
        <v>1324</v>
      </c>
      <c r="P3" s="143">
        <v>1287</v>
      </c>
      <c r="Q3" s="143">
        <v>202</v>
      </c>
      <c r="R3" s="144">
        <v>1489</v>
      </c>
      <c r="S3" s="145">
        <v>1667</v>
      </c>
      <c r="T3" s="145">
        <v>229</v>
      </c>
      <c r="U3" s="144">
        <v>1896</v>
      </c>
      <c r="V3" s="146">
        <v>1910</v>
      </c>
      <c r="W3" s="146">
        <v>272</v>
      </c>
      <c r="X3" s="141">
        <v>2182</v>
      </c>
      <c r="Y3" s="146">
        <v>2338</v>
      </c>
      <c r="Z3" s="146">
        <v>319</v>
      </c>
      <c r="AA3" s="147">
        <v>2657</v>
      </c>
      <c r="AB3" s="146">
        <v>1494</v>
      </c>
      <c r="AC3" s="146">
        <v>237</v>
      </c>
      <c r="AD3" s="147">
        <f>SUM(AB3:AC3)</f>
        <v>1731</v>
      </c>
      <c r="AE3" s="146">
        <v>2816</v>
      </c>
      <c r="AF3" s="146">
        <v>470</v>
      </c>
      <c r="AG3" s="147">
        <f t="shared" ref="AG3:AG21" si="0">SUM(AE3:AF3)</f>
        <v>3286</v>
      </c>
      <c r="AH3" s="146">
        <f>+'3.M_F_CCAA D+T+O'!W5+'3.M_F_CCAA D+T+O'!Y5+'3.M_F_CCAA D+T+O'!AA5</f>
        <v>3139</v>
      </c>
      <c r="AI3" s="146">
        <f>+'3.M_F_CCAA D+T+O'!X5+'3.M_F_CCAA D+T+O'!Z5+'3.M_F_CCAA D+T+O'!AB5</f>
        <v>641</v>
      </c>
      <c r="AJ3" s="147">
        <f t="shared" ref="AJ3:AJ21" si="1">+AH3+AI3</f>
        <v>3780</v>
      </c>
      <c r="AK3" s="146">
        <f>3250+45+129</f>
        <v>3424</v>
      </c>
      <c r="AL3" s="146">
        <f>728+3+61</f>
        <v>792</v>
      </c>
      <c r="AM3" s="147">
        <f t="shared" ref="AM3:AM21" si="2">+AK3+AL3</f>
        <v>4216</v>
      </c>
    </row>
    <row r="4" spans="1:39" ht="20.399999999999999" x14ac:dyDescent="0.3">
      <c r="A4" s="14" t="s">
        <v>26</v>
      </c>
      <c r="B4" s="137">
        <v>89</v>
      </c>
      <c r="C4" s="138">
        <v>81</v>
      </c>
      <c r="D4" s="138">
        <v>74</v>
      </c>
      <c r="E4" s="138">
        <v>95</v>
      </c>
      <c r="F4" s="138">
        <v>99</v>
      </c>
      <c r="G4" s="138">
        <v>143</v>
      </c>
      <c r="H4" s="138">
        <v>229</v>
      </c>
      <c r="I4" s="139">
        <v>207</v>
      </c>
      <c r="J4" s="148">
        <v>200</v>
      </c>
      <c r="K4" s="148">
        <v>45</v>
      </c>
      <c r="L4" s="141">
        <v>245</v>
      </c>
      <c r="M4" s="149">
        <v>204</v>
      </c>
      <c r="N4" s="149">
        <v>48</v>
      </c>
      <c r="O4" s="141">
        <v>252</v>
      </c>
      <c r="P4" s="150">
        <v>249</v>
      </c>
      <c r="Q4" s="150">
        <v>33</v>
      </c>
      <c r="R4" s="144">
        <v>282</v>
      </c>
      <c r="S4" s="151">
        <v>316</v>
      </c>
      <c r="T4" s="151">
        <v>44</v>
      </c>
      <c r="U4" s="144">
        <v>360</v>
      </c>
      <c r="V4" s="152">
        <v>380</v>
      </c>
      <c r="W4" s="152">
        <v>55</v>
      </c>
      <c r="X4" s="141">
        <v>435</v>
      </c>
      <c r="Y4" s="152">
        <v>511</v>
      </c>
      <c r="Z4" s="152">
        <v>70</v>
      </c>
      <c r="AA4" s="147">
        <v>581</v>
      </c>
      <c r="AB4" s="152">
        <v>611</v>
      </c>
      <c r="AC4" s="152">
        <v>92</v>
      </c>
      <c r="AD4" s="147">
        <f>SUM(AB4:AC4)</f>
        <v>703</v>
      </c>
      <c r="AE4" s="152">
        <v>674</v>
      </c>
      <c r="AF4" s="152">
        <v>119</v>
      </c>
      <c r="AG4" s="147">
        <f t="shared" si="0"/>
        <v>793</v>
      </c>
      <c r="AH4" s="152">
        <f>+'3.M_F_CCAA D+T+O'!W6+'3.M_F_CCAA D+T+O'!Y6+'3.M_F_CCAA D+T+O'!AA6</f>
        <v>694</v>
      </c>
      <c r="AI4" s="152">
        <f>+'3.M_F_CCAA D+T+O'!X6+'3.M_F_CCAA D+T+O'!Z6+'3.M_F_CCAA D+T+O'!AB6</f>
        <v>135</v>
      </c>
      <c r="AJ4" s="147">
        <f t="shared" si="1"/>
        <v>829</v>
      </c>
      <c r="AK4" s="152">
        <f>690+3+34</f>
        <v>727</v>
      </c>
      <c r="AL4" s="152">
        <f>141+0+16</f>
        <v>157</v>
      </c>
      <c r="AM4" s="147">
        <f t="shared" si="2"/>
        <v>884</v>
      </c>
    </row>
    <row r="5" spans="1:39" ht="20.399999999999999" x14ac:dyDescent="0.3">
      <c r="A5" s="14" t="s">
        <v>2</v>
      </c>
      <c r="B5" s="137">
        <v>145</v>
      </c>
      <c r="C5" s="138">
        <v>142</v>
      </c>
      <c r="D5" s="138">
        <v>104</v>
      </c>
      <c r="E5" s="138">
        <v>112</v>
      </c>
      <c r="F5" s="138">
        <v>110</v>
      </c>
      <c r="G5" s="138">
        <v>181</v>
      </c>
      <c r="H5" s="138">
        <v>266</v>
      </c>
      <c r="I5" s="139">
        <v>232</v>
      </c>
      <c r="J5" s="140">
        <v>255</v>
      </c>
      <c r="K5" s="140">
        <v>28</v>
      </c>
      <c r="L5" s="141">
        <v>283</v>
      </c>
      <c r="M5" s="142">
        <v>248</v>
      </c>
      <c r="N5" s="142">
        <v>44</v>
      </c>
      <c r="O5" s="141">
        <v>292</v>
      </c>
      <c r="P5" s="143">
        <v>298</v>
      </c>
      <c r="Q5" s="143">
        <v>43</v>
      </c>
      <c r="R5" s="144">
        <v>341</v>
      </c>
      <c r="S5" s="145">
        <v>311</v>
      </c>
      <c r="T5" s="145">
        <v>47</v>
      </c>
      <c r="U5" s="144">
        <v>358</v>
      </c>
      <c r="V5" s="146">
        <v>324</v>
      </c>
      <c r="W5" s="146">
        <v>53</v>
      </c>
      <c r="X5" s="141">
        <v>377</v>
      </c>
      <c r="Y5" s="146">
        <v>361</v>
      </c>
      <c r="Z5" s="146">
        <v>56</v>
      </c>
      <c r="AA5" s="147">
        <v>417</v>
      </c>
      <c r="AB5" s="146">
        <v>422</v>
      </c>
      <c r="AC5" s="146">
        <v>76</v>
      </c>
      <c r="AD5" s="147">
        <f>SUM(AB5:AC5)</f>
        <v>498</v>
      </c>
      <c r="AE5" s="146">
        <v>426</v>
      </c>
      <c r="AF5" s="146">
        <v>86</v>
      </c>
      <c r="AG5" s="147">
        <f t="shared" si="0"/>
        <v>512</v>
      </c>
      <c r="AH5" s="146">
        <f>+'3.M_F_CCAA D+T+O'!W7+'3.M_F_CCAA D+T+O'!Y7+'3.M_F_CCAA D+T+O'!AA7</f>
        <v>391</v>
      </c>
      <c r="AI5" s="146">
        <f>+'3.M_F_CCAA D+T+O'!X7+'3.M_F_CCAA D+T+O'!Z7+'3.M_F_CCAA D+T+O'!AB7</f>
        <v>69</v>
      </c>
      <c r="AJ5" s="147">
        <f t="shared" si="1"/>
        <v>460</v>
      </c>
      <c r="AK5" s="146">
        <f>394+3+31</f>
        <v>428</v>
      </c>
      <c r="AL5" s="146">
        <f>59+0+14</f>
        <v>73</v>
      </c>
      <c r="AM5" s="147">
        <f t="shared" si="2"/>
        <v>501</v>
      </c>
    </row>
    <row r="6" spans="1:39" ht="20.399999999999999" x14ac:dyDescent="0.3">
      <c r="A6" s="14" t="s">
        <v>3</v>
      </c>
      <c r="B6" s="137">
        <v>91</v>
      </c>
      <c r="C6" s="138">
        <v>105</v>
      </c>
      <c r="D6" s="138">
        <v>122</v>
      </c>
      <c r="E6" s="138">
        <v>100</v>
      </c>
      <c r="F6" s="138">
        <v>151</v>
      </c>
      <c r="G6" s="138">
        <v>181</v>
      </c>
      <c r="H6" s="138">
        <v>229</v>
      </c>
      <c r="I6" s="139">
        <v>230</v>
      </c>
      <c r="J6" s="148">
        <v>210</v>
      </c>
      <c r="K6" s="148">
        <v>33</v>
      </c>
      <c r="L6" s="141">
        <v>243</v>
      </c>
      <c r="M6" s="149">
        <v>211</v>
      </c>
      <c r="N6" s="149">
        <v>21</v>
      </c>
      <c r="O6" s="141">
        <v>232</v>
      </c>
      <c r="P6" s="150">
        <v>192</v>
      </c>
      <c r="Q6" s="150">
        <v>28</v>
      </c>
      <c r="R6" s="144">
        <v>220</v>
      </c>
      <c r="S6" s="151">
        <v>388</v>
      </c>
      <c r="T6" s="151">
        <v>41</v>
      </c>
      <c r="U6" s="144">
        <v>429</v>
      </c>
      <c r="V6" s="152">
        <v>391</v>
      </c>
      <c r="W6" s="152">
        <v>170</v>
      </c>
      <c r="X6" s="141">
        <v>561</v>
      </c>
      <c r="Y6" s="152">
        <v>558</v>
      </c>
      <c r="Z6" s="152">
        <v>135</v>
      </c>
      <c r="AA6" s="147">
        <v>693</v>
      </c>
      <c r="AB6" s="152">
        <v>924</v>
      </c>
      <c r="AC6" s="152">
        <v>107</v>
      </c>
      <c r="AD6" s="147">
        <f>SUM(AB6:AC6)</f>
        <v>1031</v>
      </c>
      <c r="AE6" s="152">
        <v>991</v>
      </c>
      <c r="AF6" s="152">
        <v>137</v>
      </c>
      <c r="AG6" s="147">
        <f t="shared" si="0"/>
        <v>1128</v>
      </c>
      <c r="AH6" s="152">
        <f>+'3.M_F_CCAA D+T+O'!W8+'3.M_F_CCAA D+T+O'!Y8+'3.M_F_CCAA D+T+O'!AA8</f>
        <v>1112</v>
      </c>
      <c r="AI6" s="152">
        <f>+'3.M_F_CCAA D+T+O'!X8+'3.M_F_CCAA D+T+O'!Z8+'3.M_F_CCAA D+T+O'!AB8</f>
        <v>185</v>
      </c>
      <c r="AJ6" s="147">
        <f t="shared" si="1"/>
        <v>1297</v>
      </c>
      <c r="AK6" s="152">
        <f>1081+12+40</f>
        <v>1133</v>
      </c>
      <c r="AL6" s="152">
        <f>176+1+26</f>
        <v>203</v>
      </c>
      <c r="AM6" s="147">
        <f t="shared" si="2"/>
        <v>1336</v>
      </c>
    </row>
    <row r="7" spans="1:39" ht="20.399999999999999" x14ac:dyDescent="0.3">
      <c r="A7" s="14" t="s">
        <v>4</v>
      </c>
      <c r="B7" s="137">
        <v>190</v>
      </c>
      <c r="C7" s="138">
        <v>322</v>
      </c>
      <c r="D7" s="153">
        <v>350</v>
      </c>
      <c r="E7" s="153">
        <v>394</v>
      </c>
      <c r="F7" s="153">
        <v>534</v>
      </c>
      <c r="G7" s="138">
        <v>543</v>
      </c>
      <c r="H7" s="138">
        <v>623</v>
      </c>
      <c r="I7" s="139">
        <v>749</v>
      </c>
      <c r="J7" s="140">
        <v>706</v>
      </c>
      <c r="K7" s="140">
        <v>122</v>
      </c>
      <c r="L7" s="141">
        <v>828</v>
      </c>
      <c r="M7" s="142">
        <v>778</v>
      </c>
      <c r="N7" s="142">
        <v>116</v>
      </c>
      <c r="O7" s="141">
        <v>894</v>
      </c>
      <c r="P7" s="143">
        <v>817</v>
      </c>
      <c r="Q7" s="143">
        <v>124</v>
      </c>
      <c r="R7" s="144">
        <v>941</v>
      </c>
      <c r="S7" s="145">
        <v>877</v>
      </c>
      <c r="T7" s="145">
        <v>152</v>
      </c>
      <c r="U7" s="144">
        <v>1029</v>
      </c>
      <c r="V7" s="146">
        <v>934</v>
      </c>
      <c r="W7" s="146">
        <v>163</v>
      </c>
      <c r="X7" s="141">
        <v>1097</v>
      </c>
      <c r="Y7" s="146">
        <v>877</v>
      </c>
      <c r="Z7" s="146">
        <v>174</v>
      </c>
      <c r="AA7" s="147">
        <v>1051</v>
      </c>
      <c r="AB7" s="146">
        <v>944</v>
      </c>
      <c r="AC7" s="146">
        <v>204</v>
      </c>
      <c r="AD7" s="147">
        <f>SUM(AB7:AC7)</f>
        <v>1148</v>
      </c>
      <c r="AE7" s="146">
        <v>968</v>
      </c>
      <c r="AF7" s="146">
        <v>218</v>
      </c>
      <c r="AG7" s="147">
        <f t="shared" si="0"/>
        <v>1186</v>
      </c>
      <c r="AH7" s="146">
        <f>+'3.M_F_CCAA D+T+O'!W9+'3.M_F_CCAA D+T+O'!Y9+'3.M_F_CCAA D+T+O'!AA9</f>
        <v>929</v>
      </c>
      <c r="AI7" s="146">
        <f>+'3.M_F_CCAA D+T+O'!X9+'3.M_F_CCAA D+T+O'!Z9+'3.M_F_CCAA D+T+O'!AB9</f>
        <v>227</v>
      </c>
      <c r="AJ7" s="147">
        <f t="shared" si="1"/>
        <v>1156</v>
      </c>
      <c r="AK7" s="146">
        <f>1003+13+31</f>
        <v>1047</v>
      </c>
      <c r="AL7" s="146">
        <f>242+2+29</f>
        <v>273</v>
      </c>
      <c r="AM7" s="147">
        <f t="shared" si="2"/>
        <v>1320</v>
      </c>
    </row>
    <row r="8" spans="1:39" ht="20.399999999999999" x14ac:dyDescent="0.3">
      <c r="A8" s="14" t="s">
        <v>5</v>
      </c>
      <c r="B8" s="137">
        <v>173</v>
      </c>
      <c r="C8" s="138">
        <v>202</v>
      </c>
      <c r="D8" s="138">
        <v>209</v>
      </c>
      <c r="E8" s="138">
        <v>223</v>
      </c>
      <c r="F8" s="138">
        <v>224</v>
      </c>
      <c r="G8" s="138">
        <v>186</v>
      </c>
      <c r="H8" s="138">
        <v>213</v>
      </c>
      <c r="I8" s="139">
        <v>238</v>
      </c>
      <c r="J8" s="148">
        <v>210</v>
      </c>
      <c r="K8" s="148">
        <v>36</v>
      </c>
      <c r="L8" s="141">
        <v>246</v>
      </c>
      <c r="M8" s="149">
        <v>213</v>
      </c>
      <c r="N8" s="149">
        <v>34</v>
      </c>
      <c r="O8" s="141">
        <v>247</v>
      </c>
      <c r="P8" s="150">
        <v>234</v>
      </c>
      <c r="Q8" s="150">
        <v>37</v>
      </c>
      <c r="R8" s="144">
        <v>271</v>
      </c>
      <c r="S8" s="151">
        <v>256</v>
      </c>
      <c r="T8" s="151">
        <v>44</v>
      </c>
      <c r="U8" s="144">
        <v>300</v>
      </c>
      <c r="V8" s="152">
        <v>276</v>
      </c>
      <c r="W8" s="152">
        <v>36</v>
      </c>
      <c r="X8" s="141">
        <v>312</v>
      </c>
      <c r="Y8" s="152">
        <v>271</v>
      </c>
      <c r="Z8" s="152">
        <v>40</v>
      </c>
      <c r="AA8" s="147">
        <v>311</v>
      </c>
      <c r="AB8" s="152">
        <v>311</v>
      </c>
      <c r="AC8" s="152">
        <v>44</v>
      </c>
      <c r="AD8" s="147">
        <v>355</v>
      </c>
      <c r="AE8" s="152">
        <v>336</v>
      </c>
      <c r="AF8" s="152">
        <v>37</v>
      </c>
      <c r="AG8" s="147">
        <f t="shared" si="0"/>
        <v>373</v>
      </c>
      <c r="AH8" s="152">
        <f>+'3.M_F_CCAA D+T+O'!W10+'3.M_F_CCAA D+T+O'!Y10+'3.M_F_CCAA D+T+O'!AA10</f>
        <v>402</v>
      </c>
      <c r="AI8" s="152">
        <f>+'3.M_F_CCAA D+T+O'!X10+'3.M_F_CCAA D+T+O'!Z10+'3.M_F_CCAA D+T+O'!AB10</f>
        <v>83</v>
      </c>
      <c r="AJ8" s="147">
        <f t="shared" si="1"/>
        <v>485</v>
      </c>
      <c r="AK8" s="152">
        <f>356+1+6</f>
        <v>363</v>
      </c>
      <c r="AL8" s="152">
        <f>73+0+7</f>
        <v>80</v>
      </c>
      <c r="AM8" s="147">
        <f t="shared" si="2"/>
        <v>443</v>
      </c>
    </row>
    <row r="9" spans="1:39" ht="20.399999999999999" x14ac:dyDescent="0.3">
      <c r="A9" s="14" t="s">
        <v>27</v>
      </c>
      <c r="B9" s="137">
        <v>156</v>
      </c>
      <c r="C9" s="138">
        <v>199</v>
      </c>
      <c r="D9" s="138">
        <v>205</v>
      </c>
      <c r="E9" s="138">
        <v>263</v>
      </c>
      <c r="F9" s="138">
        <v>357</v>
      </c>
      <c r="G9" s="138">
        <v>375</v>
      </c>
      <c r="H9" s="138">
        <v>458</v>
      </c>
      <c r="I9" s="139">
        <v>495</v>
      </c>
      <c r="J9" s="140">
        <v>454</v>
      </c>
      <c r="K9" s="140">
        <v>98</v>
      </c>
      <c r="L9" s="141">
        <v>552</v>
      </c>
      <c r="M9" s="142">
        <v>487</v>
      </c>
      <c r="N9" s="142">
        <v>103</v>
      </c>
      <c r="O9" s="141">
        <v>590</v>
      </c>
      <c r="P9" s="143">
        <v>527</v>
      </c>
      <c r="Q9" s="143">
        <v>103</v>
      </c>
      <c r="R9" s="144">
        <v>630</v>
      </c>
      <c r="S9" s="145">
        <v>563</v>
      </c>
      <c r="T9" s="145">
        <v>119</v>
      </c>
      <c r="U9" s="144">
        <v>682</v>
      </c>
      <c r="V9" s="146">
        <v>520</v>
      </c>
      <c r="W9" s="146">
        <v>104</v>
      </c>
      <c r="X9" s="141">
        <v>624</v>
      </c>
      <c r="Y9" s="146">
        <v>642</v>
      </c>
      <c r="Z9" s="146">
        <v>105</v>
      </c>
      <c r="AA9" s="147">
        <v>747</v>
      </c>
      <c r="AB9" s="146">
        <v>696</v>
      </c>
      <c r="AC9" s="146">
        <v>131</v>
      </c>
      <c r="AD9" s="147">
        <f>SUM(AB9:AC9)</f>
        <v>827</v>
      </c>
      <c r="AE9" s="146">
        <v>702</v>
      </c>
      <c r="AF9" s="146">
        <v>141</v>
      </c>
      <c r="AG9" s="147">
        <f t="shared" si="0"/>
        <v>843</v>
      </c>
      <c r="AH9" s="146">
        <f>+'3.M_F_CCAA D+T+O'!W11+'3.M_F_CCAA D+T+O'!Y11+'3.M_F_CCAA D+T+O'!AA11</f>
        <v>827</v>
      </c>
      <c r="AI9" s="146">
        <f>+'3.M_F_CCAA D+T+O'!X11+'3.M_F_CCAA D+T+O'!Z11+'3.M_F_CCAA D+T+O'!AB11</f>
        <v>168</v>
      </c>
      <c r="AJ9" s="147">
        <f t="shared" si="1"/>
        <v>995</v>
      </c>
      <c r="AK9" s="146">
        <f>871+10+30</f>
        <v>911</v>
      </c>
      <c r="AL9" s="146">
        <f>203+2+9</f>
        <v>214</v>
      </c>
      <c r="AM9" s="147">
        <f t="shared" si="2"/>
        <v>1125</v>
      </c>
    </row>
    <row r="10" spans="1:39" ht="20.399999999999999" x14ac:dyDescent="0.3">
      <c r="A10" s="14" t="s">
        <v>28</v>
      </c>
      <c r="B10" s="137">
        <v>240</v>
      </c>
      <c r="C10" s="138">
        <v>210</v>
      </c>
      <c r="D10" s="138">
        <v>274</v>
      </c>
      <c r="E10" s="138">
        <v>324</v>
      </c>
      <c r="F10" s="138">
        <v>412</v>
      </c>
      <c r="G10" s="138">
        <v>423</v>
      </c>
      <c r="H10" s="138">
        <v>463</v>
      </c>
      <c r="I10" s="139">
        <v>473</v>
      </c>
      <c r="J10" s="148">
        <v>389</v>
      </c>
      <c r="K10" s="148">
        <v>77</v>
      </c>
      <c r="L10" s="141">
        <v>466</v>
      </c>
      <c r="M10" s="149">
        <v>456</v>
      </c>
      <c r="N10" s="149">
        <v>91</v>
      </c>
      <c r="O10" s="141">
        <v>547</v>
      </c>
      <c r="P10" s="150">
        <v>542</v>
      </c>
      <c r="Q10" s="150">
        <v>118</v>
      </c>
      <c r="R10" s="144">
        <v>660</v>
      </c>
      <c r="S10" s="151">
        <v>594</v>
      </c>
      <c r="T10" s="151">
        <v>117</v>
      </c>
      <c r="U10" s="144">
        <v>711</v>
      </c>
      <c r="V10" s="152">
        <v>705</v>
      </c>
      <c r="W10" s="152">
        <v>160</v>
      </c>
      <c r="X10" s="141">
        <v>865</v>
      </c>
      <c r="Y10" s="152">
        <v>806</v>
      </c>
      <c r="Z10" s="152">
        <v>161</v>
      </c>
      <c r="AA10" s="147">
        <v>967</v>
      </c>
      <c r="AB10" s="152">
        <v>928</v>
      </c>
      <c r="AC10" s="152">
        <v>175</v>
      </c>
      <c r="AD10" s="147">
        <f>SUM(AB10:AC10)</f>
        <v>1103</v>
      </c>
      <c r="AE10" s="152">
        <v>996</v>
      </c>
      <c r="AF10" s="152">
        <v>193</v>
      </c>
      <c r="AG10" s="147">
        <f t="shared" si="0"/>
        <v>1189</v>
      </c>
      <c r="AH10" s="152">
        <f>+'3.M_F_CCAA D+T+O'!W12+'3.M_F_CCAA D+T+O'!Y12+'3.M_F_CCAA D+T+O'!AA12</f>
        <v>1020</v>
      </c>
      <c r="AI10" s="152">
        <f>+'3.M_F_CCAA D+T+O'!X12+'3.M_F_CCAA D+T+O'!Z12+'3.M_F_CCAA D+T+O'!AB12</f>
        <v>206</v>
      </c>
      <c r="AJ10" s="147">
        <f t="shared" si="1"/>
        <v>1226</v>
      </c>
      <c r="AK10" s="152">
        <f>1062+7+54</f>
        <v>1123</v>
      </c>
      <c r="AL10" s="152">
        <f>197+1+19</f>
        <v>217</v>
      </c>
      <c r="AM10" s="147">
        <f t="shared" si="2"/>
        <v>1340</v>
      </c>
    </row>
    <row r="11" spans="1:39" ht="20.399999999999999" x14ac:dyDescent="0.3">
      <c r="A11" s="14" t="s">
        <v>8</v>
      </c>
      <c r="B11" s="137">
        <v>475</v>
      </c>
      <c r="C11" s="138">
        <v>763</v>
      </c>
      <c r="D11" s="138">
        <v>813</v>
      </c>
      <c r="E11" s="138">
        <v>827</v>
      </c>
      <c r="F11" s="138">
        <v>1034</v>
      </c>
      <c r="G11" s="138">
        <v>1116</v>
      </c>
      <c r="H11" s="138">
        <v>1233</v>
      </c>
      <c r="I11" s="139">
        <v>1752</v>
      </c>
      <c r="J11" s="140">
        <v>1849</v>
      </c>
      <c r="K11" s="140">
        <v>321</v>
      </c>
      <c r="L11" s="141">
        <v>2170</v>
      </c>
      <c r="M11" s="142">
        <v>2157</v>
      </c>
      <c r="N11" s="142">
        <v>392</v>
      </c>
      <c r="O11" s="141">
        <v>2549</v>
      </c>
      <c r="P11" s="143">
        <v>2858</v>
      </c>
      <c r="Q11" s="143">
        <v>424</v>
      </c>
      <c r="R11" s="144">
        <v>3282</v>
      </c>
      <c r="S11" s="145">
        <v>3157</v>
      </c>
      <c r="T11" s="145">
        <v>368</v>
      </c>
      <c r="U11" s="144">
        <v>3525</v>
      </c>
      <c r="V11" s="146">
        <v>4337</v>
      </c>
      <c r="W11" s="146">
        <v>806</v>
      </c>
      <c r="X11" s="141">
        <v>5143</v>
      </c>
      <c r="Y11" s="146">
        <v>4088</v>
      </c>
      <c r="Z11" s="146">
        <v>769</v>
      </c>
      <c r="AA11" s="147">
        <v>4857</v>
      </c>
      <c r="AB11" s="146">
        <v>573</v>
      </c>
      <c r="AC11" s="146">
        <v>153</v>
      </c>
      <c r="AD11" s="147">
        <f>SUM(AB11:AC11)</f>
        <v>726</v>
      </c>
      <c r="AE11" s="146">
        <v>4527</v>
      </c>
      <c r="AF11" s="146">
        <v>859</v>
      </c>
      <c r="AG11" s="147">
        <f t="shared" si="0"/>
        <v>5386</v>
      </c>
      <c r="AH11" s="146">
        <f>+'3.M_F_CCAA D+T+O'!W13+'3.M_F_CCAA D+T+O'!Y13+'3.M_F_CCAA D+T+O'!AA13</f>
        <v>1740</v>
      </c>
      <c r="AI11" s="146">
        <f>+'3.M_F_CCAA D+T+O'!X13+'3.M_F_CCAA D+T+O'!Z13+'3.M_F_CCAA D+T+O'!AB13</f>
        <v>342</v>
      </c>
      <c r="AJ11" s="147">
        <f t="shared" si="1"/>
        <v>2082</v>
      </c>
      <c r="AK11" s="146">
        <f>2714+7+15</f>
        <v>2736</v>
      </c>
      <c r="AL11" s="146">
        <f>743+0+12</f>
        <v>755</v>
      </c>
      <c r="AM11" s="147">
        <f t="shared" si="2"/>
        <v>3491</v>
      </c>
    </row>
    <row r="12" spans="1:39" ht="20.399999999999999" x14ac:dyDescent="0.3">
      <c r="A12" s="14" t="s">
        <v>17</v>
      </c>
      <c r="B12" s="154">
        <v>0</v>
      </c>
      <c r="C12" s="138">
        <v>24</v>
      </c>
      <c r="D12" s="138">
        <v>50</v>
      </c>
      <c r="E12" s="138">
        <v>48</v>
      </c>
      <c r="F12" s="138">
        <v>100</v>
      </c>
      <c r="G12" s="138">
        <v>92</v>
      </c>
      <c r="H12" s="138">
        <v>87</v>
      </c>
      <c r="I12" s="139">
        <v>68</v>
      </c>
      <c r="J12" s="148">
        <v>48</v>
      </c>
      <c r="K12" s="148">
        <v>11</v>
      </c>
      <c r="L12" s="141">
        <v>59</v>
      </c>
      <c r="M12" s="149">
        <v>53</v>
      </c>
      <c r="N12" s="149">
        <v>13</v>
      </c>
      <c r="O12" s="141">
        <v>66</v>
      </c>
      <c r="P12" s="150">
        <v>48</v>
      </c>
      <c r="Q12" s="150">
        <v>13</v>
      </c>
      <c r="R12" s="144">
        <v>61</v>
      </c>
      <c r="S12" s="151">
        <v>47</v>
      </c>
      <c r="T12" s="151">
        <v>10</v>
      </c>
      <c r="U12" s="144">
        <v>57</v>
      </c>
      <c r="V12" s="152">
        <v>42</v>
      </c>
      <c r="W12" s="152">
        <v>10</v>
      </c>
      <c r="X12" s="141">
        <v>52</v>
      </c>
      <c r="Y12" s="152">
        <v>27</v>
      </c>
      <c r="Z12" s="152">
        <v>9</v>
      </c>
      <c r="AA12" s="147">
        <v>36</v>
      </c>
      <c r="AB12" s="152">
        <v>17</v>
      </c>
      <c r="AC12" s="152">
        <v>6</v>
      </c>
      <c r="AD12" s="147">
        <f>16+6+1</f>
        <v>23</v>
      </c>
      <c r="AE12" s="152">
        <v>25</v>
      </c>
      <c r="AF12" s="152">
        <v>2</v>
      </c>
      <c r="AG12" s="147">
        <f t="shared" si="0"/>
        <v>27</v>
      </c>
      <c r="AH12" s="152">
        <f>+'3.M_F_CCAA D+T+O'!W22+'3.M_F_CCAA D+T+O'!Y22+'3.M_F_CCAA D+T+O'!AA22</f>
        <v>38</v>
      </c>
      <c r="AI12" s="152">
        <f>+'3.M_F_CCAA D+T+O'!X22+'3.M_F_CCAA D+T+O'!Z22+'3.M_F_CCAA D+T+O'!AB22</f>
        <v>9</v>
      </c>
      <c r="AJ12" s="147">
        <f t="shared" si="1"/>
        <v>47</v>
      </c>
      <c r="AK12" s="152">
        <f>32+1+2</f>
        <v>35</v>
      </c>
      <c r="AL12" s="152">
        <f>7+0+4</f>
        <v>11</v>
      </c>
      <c r="AM12" s="147">
        <f t="shared" si="2"/>
        <v>46</v>
      </c>
    </row>
    <row r="13" spans="1:39" ht="20.399999999999999" x14ac:dyDescent="0.3">
      <c r="A13" s="14" t="s">
        <v>9</v>
      </c>
      <c r="B13" s="137">
        <v>576</v>
      </c>
      <c r="C13" s="138">
        <v>595</v>
      </c>
      <c r="D13" s="138">
        <v>614</v>
      </c>
      <c r="E13" s="138">
        <v>692</v>
      </c>
      <c r="F13" s="138">
        <v>830</v>
      </c>
      <c r="G13" s="138">
        <v>906</v>
      </c>
      <c r="H13" s="138">
        <v>1064</v>
      </c>
      <c r="I13" s="139">
        <v>1200</v>
      </c>
      <c r="J13" s="140">
        <v>1187</v>
      </c>
      <c r="K13" s="140">
        <v>128</v>
      </c>
      <c r="L13" s="141">
        <v>1315</v>
      </c>
      <c r="M13" s="142">
        <v>1194</v>
      </c>
      <c r="N13" s="142">
        <v>108</v>
      </c>
      <c r="O13" s="141">
        <v>1302</v>
      </c>
      <c r="P13" s="143">
        <v>1282</v>
      </c>
      <c r="Q13" s="143">
        <v>124</v>
      </c>
      <c r="R13" s="144">
        <v>1406</v>
      </c>
      <c r="S13" s="145">
        <v>1434</v>
      </c>
      <c r="T13" s="145">
        <v>153</v>
      </c>
      <c r="U13" s="144">
        <v>1587</v>
      </c>
      <c r="V13" s="146">
        <v>1539</v>
      </c>
      <c r="W13" s="146">
        <v>181</v>
      </c>
      <c r="X13" s="141">
        <v>1720</v>
      </c>
      <c r="Y13" s="146">
        <v>1824</v>
      </c>
      <c r="Z13" s="146">
        <v>215</v>
      </c>
      <c r="AA13" s="147">
        <v>2039</v>
      </c>
      <c r="AB13" s="146">
        <v>572</v>
      </c>
      <c r="AC13" s="146">
        <v>74</v>
      </c>
      <c r="AD13" s="147">
        <v>646</v>
      </c>
      <c r="AE13" s="146">
        <v>2124</v>
      </c>
      <c r="AF13" s="146">
        <v>285</v>
      </c>
      <c r="AG13" s="147">
        <f t="shared" si="0"/>
        <v>2409</v>
      </c>
      <c r="AH13" s="146">
        <f>+'3.M_F_CCAA D+T+O'!W14+'3.M_F_CCAA D+T+O'!Y14+'3.M_F_CCAA D+T+O'!AA14</f>
        <v>2164</v>
      </c>
      <c r="AI13" s="146">
        <f>+'3.M_F_CCAA D+T+O'!X14+'3.M_F_CCAA D+T+O'!Z14+'3.M_F_CCAA D+T+O'!AB14</f>
        <v>297</v>
      </c>
      <c r="AJ13" s="147">
        <f t="shared" si="1"/>
        <v>2461</v>
      </c>
      <c r="AK13" s="152">
        <f>2089+3+46</f>
        <v>2138</v>
      </c>
      <c r="AL13" s="152">
        <f>273+0+32</f>
        <v>305</v>
      </c>
      <c r="AM13" s="147">
        <f t="shared" si="2"/>
        <v>2443</v>
      </c>
    </row>
    <row r="14" spans="1:39" ht="20.399999999999999" x14ac:dyDescent="0.3">
      <c r="A14" s="14" t="s">
        <v>10</v>
      </c>
      <c r="B14" s="137">
        <v>152</v>
      </c>
      <c r="C14" s="138">
        <v>176</v>
      </c>
      <c r="D14" s="138">
        <v>146</v>
      </c>
      <c r="E14" s="138">
        <v>118</v>
      </c>
      <c r="F14" s="138">
        <v>150</v>
      </c>
      <c r="G14" s="138">
        <v>134</v>
      </c>
      <c r="H14" s="138">
        <v>135</v>
      </c>
      <c r="I14" s="139">
        <v>164</v>
      </c>
      <c r="J14" s="148">
        <v>146</v>
      </c>
      <c r="K14" s="148">
        <v>44</v>
      </c>
      <c r="L14" s="141">
        <v>190</v>
      </c>
      <c r="M14" s="149">
        <v>158</v>
      </c>
      <c r="N14" s="149">
        <v>29</v>
      </c>
      <c r="O14" s="141">
        <v>187</v>
      </c>
      <c r="P14" s="150">
        <v>167</v>
      </c>
      <c r="Q14" s="150">
        <v>23</v>
      </c>
      <c r="R14" s="144">
        <v>190</v>
      </c>
      <c r="S14" s="151">
        <v>159</v>
      </c>
      <c r="T14" s="151">
        <v>31</v>
      </c>
      <c r="U14" s="144">
        <v>190</v>
      </c>
      <c r="V14" s="152">
        <v>200</v>
      </c>
      <c r="W14" s="152">
        <v>33</v>
      </c>
      <c r="X14" s="141">
        <v>233</v>
      </c>
      <c r="Y14" s="152">
        <v>255</v>
      </c>
      <c r="Z14" s="152">
        <v>34</v>
      </c>
      <c r="AA14" s="147">
        <v>289</v>
      </c>
      <c r="AB14" s="152">
        <v>304</v>
      </c>
      <c r="AC14" s="152">
        <v>67</v>
      </c>
      <c r="AD14" s="147">
        <f t="shared" ref="AD14:AD21" si="3">SUM(AB14:AC14)</f>
        <v>371</v>
      </c>
      <c r="AE14" s="152">
        <v>369</v>
      </c>
      <c r="AF14" s="152">
        <v>79</v>
      </c>
      <c r="AG14" s="147">
        <f t="shared" si="0"/>
        <v>448</v>
      </c>
      <c r="AH14" s="152">
        <f>+'3.M_F_CCAA D+T+O'!W15+'3.M_F_CCAA D+T+O'!Y15+'3.M_F_CCAA D+T+O'!AA15</f>
        <v>406</v>
      </c>
      <c r="AI14" s="152">
        <f>+'3.M_F_CCAA D+T+O'!X15+'3.M_F_CCAA D+T+O'!Z15+'3.M_F_CCAA D+T+O'!AB15</f>
        <v>110</v>
      </c>
      <c r="AJ14" s="147">
        <f t="shared" si="1"/>
        <v>516</v>
      </c>
      <c r="AK14" s="146">
        <f>400+8+26</f>
        <v>434</v>
      </c>
      <c r="AL14" s="146">
        <f>116+2+21</f>
        <v>139</v>
      </c>
      <c r="AM14" s="147">
        <f t="shared" si="2"/>
        <v>573</v>
      </c>
    </row>
    <row r="15" spans="1:39" ht="20.399999999999999" x14ac:dyDescent="0.3">
      <c r="A15" s="14" t="s">
        <v>11</v>
      </c>
      <c r="B15" s="137">
        <v>212</v>
      </c>
      <c r="C15" s="138">
        <v>252</v>
      </c>
      <c r="D15" s="138">
        <v>272</v>
      </c>
      <c r="E15" s="138">
        <v>295</v>
      </c>
      <c r="F15" s="138">
        <v>325</v>
      </c>
      <c r="G15" s="138">
        <v>365</v>
      </c>
      <c r="H15" s="138">
        <v>456</v>
      </c>
      <c r="I15" s="139">
        <v>556</v>
      </c>
      <c r="J15" s="140">
        <v>464</v>
      </c>
      <c r="K15" s="140">
        <v>101</v>
      </c>
      <c r="L15" s="141">
        <v>565</v>
      </c>
      <c r="M15" s="142">
        <v>509</v>
      </c>
      <c r="N15" s="142">
        <v>110</v>
      </c>
      <c r="O15" s="141">
        <v>619</v>
      </c>
      <c r="P15" s="143">
        <v>612</v>
      </c>
      <c r="Q15" s="143">
        <v>152</v>
      </c>
      <c r="R15" s="144">
        <v>764</v>
      </c>
      <c r="S15" s="145">
        <v>684</v>
      </c>
      <c r="T15" s="145">
        <v>151</v>
      </c>
      <c r="U15" s="144">
        <v>835</v>
      </c>
      <c r="V15" s="146">
        <v>766</v>
      </c>
      <c r="W15" s="146">
        <v>153</v>
      </c>
      <c r="X15" s="141">
        <v>919</v>
      </c>
      <c r="Y15" s="146">
        <v>1022</v>
      </c>
      <c r="Z15" s="146">
        <v>224</v>
      </c>
      <c r="AA15" s="147">
        <v>1246</v>
      </c>
      <c r="AB15" s="146">
        <v>1322</v>
      </c>
      <c r="AC15" s="146">
        <v>312</v>
      </c>
      <c r="AD15" s="147">
        <f t="shared" si="3"/>
        <v>1634</v>
      </c>
      <c r="AE15" s="146">
        <v>1451</v>
      </c>
      <c r="AF15" s="146">
        <v>350</v>
      </c>
      <c r="AG15" s="147">
        <f t="shared" si="0"/>
        <v>1801</v>
      </c>
      <c r="AH15" s="146">
        <f>+'3.M_F_CCAA D+T+O'!W16+'3.M_F_CCAA D+T+O'!Y16+'3.M_F_CCAA D+T+O'!AA16</f>
        <v>1594</v>
      </c>
      <c r="AI15" s="146">
        <f>+'3.M_F_CCAA D+T+O'!X16+'3.M_F_CCAA D+T+O'!Z16+'3.M_F_CCAA D+T+O'!AB16</f>
        <v>380</v>
      </c>
      <c r="AJ15" s="147">
        <f t="shared" si="1"/>
        <v>1974</v>
      </c>
      <c r="AK15" s="152">
        <f>1604+22+54</f>
        <v>1680</v>
      </c>
      <c r="AL15" s="152">
        <f>410+2+31</f>
        <v>443</v>
      </c>
      <c r="AM15" s="147">
        <f t="shared" si="2"/>
        <v>2123</v>
      </c>
    </row>
    <row r="16" spans="1:39" ht="20.399999999999999" x14ac:dyDescent="0.3">
      <c r="A16" s="14" t="s">
        <v>12</v>
      </c>
      <c r="B16" s="137">
        <v>444</v>
      </c>
      <c r="C16" s="138">
        <v>513</v>
      </c>
      <c r="D16" s="138">
        <v>549</v>
      </c>
      <c r="E16" s="138">
        <v>499</v>
      </c>
      <c r="F16" s="138">
        <v>615</v>
      </c>
      <c r="G16" s="138">
        <v>730</v>
      </c>
      <c r="H16" s="138">
        <v>925</v>
      </c>
      <c r="I16" s="139">
        <v>1143</v>
      </c>
      <c r="J16" s="148">
        <v>1129</v>
      </c>
      <c r="K16" s="148">
        <v>220</v>
      </c>
      <c r="L16" s="141">
        <v>1349</v>
      </c>
      <c r="M16" s="149">
        <v>1422</v>
      </c>
      <c r="N16" s="149">
        <v>318</v>
      </c>
      <c r="O16" s="141">
        <v>1740</v>
      </c>
      <c r="P16" s="150">
        <v>1881</v>
      </c>
      <c r="Q16" s="150">
        <v>397</v>
      </c>
      <c r="R16" s="144">
        <v>2278</v>
      </c>
      <c r="S16" s="151">
        <v>2113</v>
      </c>
      <c r="T16" s="151">
        <v>467</v>
      </c>
      <c r="U16" s="144">
        <v>2580</v>
      </c>
      <c r="V16" s="152">
        <v>2262</v>
      </c>
      <c r="W16" s="152">
        <v>459</v>
      </c>
      <c r="X16" s="141">
        <v>2721</v>
      </c>
      <c r="Y16" s="152">
        <v>2624</v>
      </c>
      <c r="Z16" s="152">
        <v>590</v>
      </c>
      <c r="AA16" s="147">
        <v>3214</v>
      </c>
      <c r="AB16" s="152">
        <v>2808</v>
      </c>
      <c r="AC16" s="152">
        <v>629</v>
      </c>
      <c r="AD16" s="147">
        <f t="shared" si="3"/>
        <v>3437</v>
      </c>
      <c r="AE16" s="152">
        <v>3219</v>
      </c>
      <c r="AF16" s="152">
        <v>784</v>
      </c>
      <c r="AG16" s="147">
        <f t="shared" si="0"/>
        <v>4003</v>
      </c>
      <c r="AH16" s="152">
        <f>+'3.M_F_CCAA D+T+O'!W17+'3.M_F_CCAA D+T+O'!Y17+'3.M_F_CCAA D+T+O'!AA17</f>
        <v>3454</v>
      </c>
      <c r="AI16" s="152">
        <f>+'3.M_F_CCAA D+T+O'!X17+'3.M_F_CCAA D+T+O'!Z17+'3.M_F_CCAA D+T+O'!AB17</f>
        <v>877</v>
      </c>
      <c r="AJ16" s="147">
        <f t="shared" si="1"/>
        <v>4331</v>
      </c>
      <c r="AK16" s="146">
        <f>3410+55+61</f>
        <v>3526</v>
      </c>
      <c r="AL16" s="146">
        <f>993+9+40</f>
        <v>1042</v>
      </c>
      <c r="AM16" s="147">
        <f t="shared" si="2"/>
        <v>4568</v>
      </c>
    </row>
    <row r="17" spans="1:39" ht="20.399999999999999" x14ac:dyDescent="0.3">
      <c r="A17" s="14" t="s">
        <v>13</v>
      </c>
      <c r="B17" s="137">
        <v>146</v>
      </c>
      <c r="C17" s="138">
        <v>177</v>
      </c>
      <c r="D17" s="138">
        <v>224</v>
      </c>
      <c r="E17" s="138">
        <v>235</v>
      </c>
      <c r="F17" s="138">
        <v>291</v>
      </c>
      <c r="G17" s="138">
        <v>338</v>
      </c>
      <c r="H17" s="138">
        <v>359</v>
      </c>
      <c r="I17" s="139">
        <v>401</v>
      </c>
      <c r="J17" s="140">
        <v>366</v>
      </c>
      <c r="K17" s="140">
        <v>55</v>
      </c>
      <c r="L17" s="141">
        <v>421</v>
      </c>
      <c r="M17" s="142">
        <v>461</v>
      </c>
      <c r="N17" s="142">
        <v>71</v>
      </c>
      <c r="O17" s="141">
        <v>532</v>
      </c>
      <c r="P17" s="143">
        <v>504</v>
      </c>
      <c r="Q17" s="143">
        <v>90</v>
      </c>
      <c r="R17" s="144">
        <v>594</v>
      </c>
      <c r="S17" s="145">
        <v>579</v>
      </c>
      <c r="T17" s="145">
        <v>127</v>
      </c>
      <c r="U17" s="144">
        <v>706</v>
      </c>
      <c r="V17" s="146">
        <v>659</v>
      </c>
      <c r="W17" s="146">
        <v>118</v>
      </c>
      <c r="X17" s="141">
        <v>777</v>
      </c>
      <c r="Y17" s="146">
        <v>748</v>
      </c>
      <c r="Z17" s="146">
        <v>148</v>
      </c>
      <c r="AA17" s="147">
        <v>896</v>
      </c>
      <c r="AB17" s="146">
        <v>852</v>
      </c>
      <c r="AC17" s="146">
        <v>191</v>
      </c>
      <c r="AD17" s="147">
        <f t="shared" si="3"/>
        <v>1043</v>
      </c>
      <c r="AE17" s="146">
        <v>919</v>
      </c>
      <c r="AF17" s="146">
        <v>219</v>
      </c>
      <c r="AG17" s="147">
        <f t="shared" si="0"/>
        <v>1138</v>
      </c>
      <c r="AH17" s="146">
        <f>+'3.M_F_CCAA D+T+O'!W18+'3.M_F_CCAA D+T+O'!Y18+'3.M_F_CCAA D+T+O'!AA18</f>
        <v>1012</v>
      </c>
      <c r="AI17" s="146">
        <f>+'3.M_F_CCAA D+T+O'!X18+'3.M_F_CCAA D+T+O'!Z18+'3.M_F_CCAA D+T+O'!AB18</f>
        <v>244</v>
      </c>
      <c r="AJ17" s="147">
        <f t="shared" si="1"/>
        <v>1256</v>
      </c>
      <c r="AK17" s="152">
        <f>1041+9+20</f>
        <v>1070</v>
      </c>
      <c r="AL17" s="152">
        <f>268+4+28</f>
        <v>300</v>
      </c>
      <c r="AM17" s="147">
        <f t="shared" si="2"/>
        <v>1370</v>
      </c>
    </row>
    <row r="18" spans="1:39" ht="20.399999999999999" x14ac:dyDescent="0.3">
      <c r="A18" s="14" t="s">
        <v>14</v>
      </c>
      <c r="B18" s="137">
        <v>39</v>
      </c>
      <c r="C18" s="138">
        <v>107</v>
      </c>
      <c r="D18" s="138">
        <v>120</v>
      </c>
      <c r="E18" s="138">
        <v>103</v>
      </c>
      <c r="F18" s="138">
        <v>209</v>
      </c>
      <c r="G18" s="138">
        <v>177</v>
      </c>
      <c r="H18" s="138">
        <v>242</v>
      </c>
      <c r="I18" s="139">
        <v>281</v>
      </c>
      <c r="J18" s="148">
        <v>244</v>
      </c>
      <c r="K18" s="148">
        <v>43</v>
      </c>
      <c r="L18" s="141">
        <v>287</v>
      </c>
      <c r="M18" s="149">
        <v>339</v>
      </c>
      <c r="N18" s="149">
        <v>57</v>
      </c>
      <c r="O18" s="141">
        <v>396</v>
      </c>
      <c r="P18" s="150">
        <v>332</v>
      </c>
      <c r="Q18" s="150">
        <v>75</v>
      </c>
      <c r="R18" s="144">
        <v>407</v>
      </c>
      <c r="S18" s="151">
        <v>335</v>
      </c>
      <c r="T18" s="151">
        <v>74</v>
      </c>
      <c r="U18" s="144">
        <v>409</v>
      </c>
      <c r="V18" s="152">
        <v>393</v>
      </c>
      <c r="W18" s="152">
        <v>93</v>
      </c>
      <c r="X18" s="141">
        <v>486</v>
      </c>
      <c r="Y18" s="152">
        <v>692</v>
      </c>
      <c r="Z18" s="152">
        <v>259</v>
      </c>
      <c r="AA18" s="147">
        <v>951</v>
      </c>
      <c r="AB18" s="152">
        <v>724</v>
      </c>
      <c r="AC18" s="152">
        <v>263</v>
      </c>
      <c r="AD18" s="147">
        <f t="shared" si="3"/>
        <v>987</v>
      </c>
      <c r="AE18" s="152">
        <v>788</v>
      </c>
      <c r="AF18" s="152">
        <v>308</v>
      </c>
      <c r="AG18" s="147">
        <f t="shared" si="0"/>
        <v>1096</v>
      </c>
      <c r="AH18" s="152">
        <f>+'3.M_F_CCAA D+T+O'!W19+'3.M_F_CCAA D+T+O'!Y19+'3.M_F_CCAA D+T+O'!AA19</f>
        <v>644</v>
      </c>
      <c r="AI18" s="152">
        <f>+'3.M_F_CCAA D+T+O'!X19+'3.M_F_CCAA D+T+O'!Z19+'3.M_F_CCAA D+T+O'!AB19</f>
        <v>181</v>
      </c>
      <c r="AJ18" s="147">
        <f t="shared" si="1"/>
        <v>825</v>
      </c>
      <c r="AK18" s="146">
        <f>639+17+17</f>
        <v>673</v>
      </c>
      <c r="AL18" s="146">
        <f>172+3+16</f>
        <v>191</v>
      </c>
      <c r="AM18" s="147">
        <f t="shared" si="2"/>
        <v>864</v>
      </c>
    </row>
    <row r="19" spans="1:39" ht="20.399999999999999" x14ac:dyDescent="0.3">
      <c r="A19" s="14" t="s">
        <v>29</v>
      </c>
      <c r="B19" s="137">
        <v>14</v>
      </c>
      <c r="C19" s="138">
        <v>10</v>
      </c>
      <c r="D19" s="138">
        <v>15</v>
      </c>
      <c r="E19" s="138">
        <v>20</v>
      </c>
      <c r="F19" s="138">
        <v>23</v>
      </c>
      <c r="G19" s="138">
        <v>19</v>
      </c>
      <c r="H19" s="138">
        <v>22</v>
      </c>
      <c r="I19" s="139">
        <v>34</v>
      </c>
      <c r="J19" s="140">
        <v>35</v>
      </c>
      <c r="K19" s="140">
        <v>0</v>
      </c>
      <c r="L19" s="141">
        <v>35</v>
      </c>
      <c r="M19" s="142">
        <v>33</v>
      </c>
      <c r="N19" s="142">
        <v>2</v>
      </c>
      <c r="O19" s="141">
        <v>35</v>
      </c>
      <c r="P19" s="143">
        <v>57</v>
      </c>
      <c r="Q19" s="143">
        <v>2</v>
      </c>
      <c r="R19" s="144">
        <v>59</v>
      </c>
      <c r="S19" s="145">
        <v>66</v>
      </c>
      <c r="T19" s="145">
        <v>8</v>
      </c>
      <c r="U19" s="144">
        <v>74</v>
      </c>
      <c r="V19" s="146">
        <v>85</v>
      </c>
      <c r="W19" s="146">
        <v>10</v>
      </c>
      <c r="X19" s="141">
        <v>95</v>
      </c>
      <c r="Y19" s="146">
        <v>107</v>
      </c>
      <c r="Z19" s="146">
        <v>18</v>
      </c>
      <c r="AA19" s="147">
        <v>125</v>
      </c>
      <c r="AB19" s="146">
        <v>113</v>
      </c>
      <c r="AC19" s="146">
        <v>16</v>
      </c>
      <c r="AD19" s="147">
        <f t="shared" si="3"/>
        <v>129</v>
      </c>
      <c r="AE19" s="146">
        <v>123</v>
      </c>
      <c r="AF19" s="146">
        <v>21</v>
      </c>
      <c r="AG19" s="147">
        <f t="shared" si="0"/>
        <v>144</v>
      </c>
      <c r="AH19" s="146">
        <f>+'3.M_F_CCAA D+T+O'!W20+'3.M_F_CCAA D+T+O'!Y20+'3.M_F_CCAA D+T+O'!AA20</f>
        <v>138</v>
      </c>
      <c r="AI19" s="146">
        <f>+'3.M_F_CCAA D+T+O'!X20+'3.M_F_CCAA D+T+O'!Z20+'3.M_F_CCAA D+T+O'!AB20</f>
        <v>21</v>
      </c>
      <c r="AJ19" s="147">
        <f t="shared" si="1"/>
        <v>159</v>
      </c>
      <c r="AK19" s="152">
        <f>123+1+10</f>
        <v>134</v>
      </c>
      <c r="AL19" s="152">
        <f>7+0+11</f>
        <v>18</v>
      </c>
      <c r="AM19" s="147">
        <f t="shared" si="2"/>
        <v>152</v>
      </c>
    </row>
    <row r="20" spans="1:39" ht="20.399999999999999" x14ac:dyDescent="0.3">
      <c r="A20" s="14" t="s">
        <v>16</v>
      </c>
      <c r="B20" s="137">
        <v>427</v>
      </c>
      <c r="C20" s="138">
        <v>548</v>
      </c>
      <c r="D20" s="138">
        <v>613</v>
      </c>
      <c r="E20" s="138">
        <v>739</v>
      </c>
      <c r="F20" s="138">
        <v>987</v>
      </c>
      <c r="G20" s="138">
        <v>1097</v>
      </c>
      <c r="H20" s="138">
        <v>1280</v>
      </c>
      <c r="I20" s="139">
        <v>1390</v>
      </c>
      <c r="J20" s="148">
        <v>1322</v>
      </c>
      <c r="K20" s="148">
        <v>251</v>
      </c>
      <c r="L20" s="141">
        <v>1573</v>
      </c>
      <c r="M20" s="149">
        <v>1593</v>
      </c>
      <c r="N20" s="149">
        <v>282</v>
      </c>
      <c r="O20" s="141">
        <v>1875</v>
      </c>
      <c r="P20" s="150">
        <v>1801</v>
      </c>
      <c r="Q20" s="150">
        <v>334</v>
      </c>
      <c r="R20" s="144">
        <v>2135</v>
      </c>
      <c r="S20" s="151">
        <v>1955</v>
      </c>
      <c r="T20" s="151">
        <v>332</v>
      </c>
      <c r="U20" s="144">
        <v>2287</v>
      </c>
      <c r="V20" s="152">
        <v>1993</v>
      </c>
      <c r="W20" s="152">
        <v>350</v>
      </c>
      <c r="X20" s="141">
        <v>2343</v>
      </c>
      <c r="Y20" s="152">
        <v>2586</v>
      </c>
      <c r="Z20" s="152">
        <v>428</v>
      </c>
      <c r="AA20" s="147">
        <v>3014</v>
      </c>
      <c r="AB20" s="152">
        <v>2898</v>
      </c>
      <c r="AC20" s="152">
        <v>563</v>
      </c>
      <c r="AD20" s="147">
        <f t="shared" si="3"/>
        <v>3461</v>
      </c>
      <c r="AE20" s="152">
        <v>3170</v>
      </c>
      <c r="AF20" s="152">
        <v>664</v>
      </c>
      <c r="AG20" s="147">
        <f t="shared" si="0"/>
        <v>3834</v>
      </c>
      <c r="AH20" s="152">
        <f>+'3.M_F_CCAA D+T+O'!W21+'3.M_F_CCAA D+T+O'!Y21+'3.M_F_CCAA D+T+O'!AA21</f>
        <v>3017</v>
      </c>
      <c r="AI20" s="152">
        <f>+'3.M_F_CCAA D+T+O'!X21+'3.M_F_CCAA D+T+O'!Z21+'3.M_F_CCAA D+T+O'!AB21</f>
        <v>706</v>
      </c>
      <c r="AJ20" s="147">
        <f t="shared" si="1"/>
        <v>3723</v>
      </c>
      <c r="AK20" s="146">
        <f>2819+120+86</f>
        <v>3025</v>
      </c>
      <c r="AL20" s="146">
        <f>695+15+41</f>
        <v>751</v>
      </c>
      <c r="AM20" s="147">
        <f t="shared" si="2"/>
        <v>3776</v>
      </c>
    </row>
    <row r="21" spans="1:39" ht="20.399999999999999" x14ac:dyDescent="0.3">
      <c r="A21" s="14" t="s">
        <v>18</v>
      </c>
      <c r="B21" s="154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6">
        <v>0</v>
      </c>
      <c r="J21" s="140">
        <v>0</v>
      </c>
      <c r="K21" s="140">
        <v>0</v>
      </c>
      <c r="L21" s="157">
        <v>0</v>
      </c>
      <c r="M21" s="143">
        <v>0</v>
      </c>
      <c r="N21" s="143">
        <v>0</v>
      </c>
      <c r="O21" s="157">
        <v>0</v>
      </c>
      <c r="P21" s="143">
        <v>33</v>
      </c>
      <c r="Q21" s="143">
        <v>1</v>
      </c>
      <c r="R21" s="144">
        <v>34</v>
      </c>
      <c r="S21" s="145">
        <v>75</v>
      </c>
      <c r="T21" s="145">
        <v>47</v>
      </c>
      <c r="U21" s="144">
        <v>122</v>
      </c>
      <c r="V21" s="146">
        <v>86</v>
      </c>
      <c r="W21" s="146">
        <v>51</v>
      </c>
      <c r="X21" s="141">
        <v>137</v>
      </c>
      <c r="Y21" s="146">
        <v>97</v>
      </c>
      <c r="Z21" s="146">
        <v>53</v>
      </c>
      <c r="AA21" s="147">
        <v>150</v>
      </c>
      <c r="AB21" s="146">
        <v>93</v>
      </c>
      <c r="AC21" s="146">
        <v>53</v>
      </c>
      <c r="AD21" s="147">
        <f t="shared" si="3"/>
        <v>146</v>
      </c>
      <c r="AE21" s="146">
        <v>100</v>
      </c>
      <c r="AF21" s="146">
        <v>44</v>
      </c>
      <c r="AG21" s="147">
        <f t="shared" si="0"/>
        <v>144</v>
      </c>
      <c r="AH21" s="146">
        <f>+'3.M_F_CCAA D+T+O'!W23+'3.M_F_CCAA D+T+O'!Y23+'3.M_F_CCAA D+T+O'!AA23</f>
        <v>119</v>
      </c>
      <c r="AI21" s="146">
        <f>+'3.M_F_CCAA D+T+O'!X23+'3.M_F_CCAA D+T+O'!Z23+'3.M_F_CCAA D+T+O'!AB23</f>
        <v>39</v>
      </c>
      <c r="AJ21" s="147">
        <f t="shared" si="1"/>
        <v>158</v>
      </c>
      <c r="AK21" s="146">
        <f>108+1+12</f>
        <v>121</v>
      </c>
      <c r="AL21" s="146">
        <f>33+0+19</f>
        <v>52</v>
      </c>
      <c r="AM21" s="147">
        <f t="shared" si="2"/>
        <v>173</v>
      </c>
    </row>
    <row r="22" spans="1:39" ht="22.8" x14ac:dyDescent="0.3">
      <c r="A22" s="4" t="s">
        <v>30</v>
      </c>
      <c r="B22" s="158">
        <v>4036</v>
      </c>
      <c r="C22" s="159">
        <v>4983</v>
      </c>
      <c r="D22" s="159">
        <v>5336</v>
      </c>
      <c r="E22" s="159">
        <v>5706</v>
      </c>
      <c r="F22" s="159">
        <v>7066</v>
      </c>
      <c r="G22" s="159">
        <v>7700</v>
      </c>
      <c r="H22" s="159">
        <v>9202</v>
      </c>
      <c r="I22" s="160">
        <v>10640</v>
      </c>
      <c r="J22" s="161">
        <f>SUM(J3:J20)</f>
        <v>10203</v>
      </c>
      <c r="K22" s="161">
        <f>SUM(K3:K21)</f>
        <v>1793</v>
      </c>
      <c r="L22" s="162">
        <v>11996</v>
      </c>
      <c r="M22" s="163">
        <f>SUM(M3:M21)</f>
        <v>11679</v>
      </c>
      <c r="N22" s="163">
        <f>SUM(N3:N21)</f>
        <v>2000</v>
      </c>
      <c r="O22" s="162">
        <v>13779</v>
      </c>
      <c r="P22" s="163">
        <f>SUM(P3:P21)</f>
        <v>13721</v>
      </c>
      <c r="Q22" s="163">
        <f>SUM(Q3:Q21)</f>
        <v>2323</v>
      </c>
      <c r="R22" s="162">
        <v>16044</v>
      </c>
      <c r="S22" s="163">
        <f>SUM(S3:S21)</f>
        <v>15576</v>
      </c>
      <c r="T22" s="163">
        <f>SUM(T3:T21)</f>
        <v>2561</v>
      </c>
      <c r="U22" s="162">
        <v>18137</v>
      </c>
      <c r="V22" s="163">
        <f t="shared" ref="V22:AM22" si="4">SUM(V3:V21)</f>
        <v>17802</v>
      </c>
      <c r="W22" s="163">
        <f t="shared" si="4"/>
        <v>3277</v>
      </c>
      <c r="X22" s="162">
        <f t="shared" si="4"/>
        <v>21079</v>
      </c>
      <c r="Y22" s="164">
        <f t="shared" si="4"/>
        <v>20434</v>
      </c>
      <c r="Z22" s="164">
        <f t="shared" si="4"/>
        <v>3807</v>
      </c>
      <c r="AA22" s="165">
        <f t="shared" si="4"/>
        <v>24241</v>
      </c>
      <c r="AB22" s="164">
        <f t="shared" si="4"/>
        <v>16606</v>
      </c>
      <c r="AC22" s="164">
        <f t="shared" si="4"/>
        <v>3393</v>
      </c>
      <c r="AD22" s="165">
        <f t="shared" si="4"/>
        <v>19999</v>
      </c>
      <c r="AE22" s="164">
        <f t="shared" si="4"/>
        <v>24724</v>
      </c>
      <c r="AF22" s="164">
        <f t="shared" si="4"/>
        <v>5016</v>
      </c>
      <c r="AG22" s="165">
        <f t="shared" si="4"/>
        <v>29740</v>
      </c>
      <c r="AH22" s="164">
        <f t="shared" si="4"/>
        <v>22840</v>
      </c>
      <c r="AI22" s="164">
        <f t="shared" si="4"/>
        <v>4920</v>
      </c>
      <c r="AJ22" s="165">
        <f t="shared" si="4"/>
        <v>27760</v>
      </c>
      <c r="AK22" s="164">
        <f t="shared" si="4"/>
        <v>24728</v>
      </c>
      <c r="AL22" s="164">
        <f t="shared" si="4"/>
        <v>6016</v>
      </c>
      <c r="AM22" s="165">
        <f t="shared" si="4"/>
        <v>30744</v>
      </c>
    </row>
  </sheetData>
  <mergeCells count="10">
    <mergeCell ref="AB1:AD1"/>
    <mergeCell ref="AE1:AG1"/>
    <mergeCell ref="AH1:AJ1"/>
    <mergeCell ref="AK1:AM1"/>
    <mergeCell ref="J1:L1"/>
    <mergeCell ref="M1:O1"/>
    <mergeCell ref="P1:R1"/>
    <mergeCell ref="S1:U1"/>
    <mergeCell ref="V1:X1"/>
    <mergeCell ref="Y1:AA1"/>
  </mergeCells>
  <printOptions horizontalCentered="1"/>
  <pageMargins left="0" right="0" top="0.74803149606299213" bottom="0" header="0.31496062992125984" footer="0.31496062992125984"/>
  <pageSetup paperSize="9" scale="35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zoomScale="70" zoomScaleNormal="70" workbookViewId="0">
      <pane xSplit="1" topLeftCell="B1" activePane="topRight" state="frozen"/>
      <selection pane="topRight" activeCell="AL19" sqref="AL19"/>
    </sheetView>
  </sheetViews>
  <sheetFormatPr baseColWidth="10" defaultColWidth="35.33203125" defaultRowHeight="13.2" x14ac:dyDescent="0.3"/>
  <cols>
    <col min="1" max="1" width="32.44140625" style="1" bestFit="1" customWidth="1"/>
    <col min="2" max="2" width="14.109375" style="7" hidden="1" customWidth="1"/>
    <col min="3" max="3" width="12.5546875" style="7" hidden="1" customWidth="1"/>
    <col min="4" max="4" width="14.109375" style="1" hidden="1" customWidth="1"/>
    <col min="5" max="5" width="12.5546875" style="1" hidden="1" customWidth="1"/>
    <col min="6" max="6" width="14.109375" style="1" hidden="1" customWidth="1"/>
    <col min="7" max="7" width="12.5546875" style="1" hidden="1" customWidth="1"/>
    <col min="8" max="8" width="11.77734375" style="47" hidden="1" customWidth="1"/>
    <col min="9" max="9" width="14.109375" style="7" hidden="1" customWidth="1"/>
    <col min="10" max="10" width="12.5546875" style="7" hidden="1" customWidth="1"/>
    <col min="11" max="11" width="14.109375" style="1" hidden="1" customWidth="1"/>
    <col min="12" max="12" width="12.5546875" style="1" hidden="1" customWidth="1"/>
    <col min="13" max="13" width="14.109375" style="1" hidden="1" customWidth="1"/>
    <col min="14" max="14" width="12.5546875" style="1" hidden="1" customWidth="1"/>
    <col min="15" max="15" width="11.77734375" style="47" hidden="1" customWidth="1"/>
    <col min="16" max="16" width="14.109375" style="7" hidden="1" customWidth="1"/>
    <col min="17" max="17" width="12.5546875" style="7" hidden="1" customWidth="1"/>
    <col min="18" max="18" width="14.109375" style="1" hidden="1" customWidth="1"/>
    <col min="19" max="19" width="12.5546875" style="1" hidden="1" customWidth="1"/>
    <col min="20" max="20" width="14.109375" style="1" hidden="1" customWidth="1"/>
    <col min="21" max="21" width="12.5546875" style="1" hidden="1" customWidth="1"/>
    <col min="22" max="22" width="11.77734375" style="47" hidden="1" customWidth="1"/>
    <col min="23" max="23" width="14.109375" style="1" hidden="1" customWidth="1"/>
    <col min="24" max="24" width="12.5546875" style="1" hidden="1" customWidth="1"/>
    <col min="25" max="25" width="14.109375" style="1" hidden="1" customWidth="1"/>
    <col min="26" max="26" width="12.5546875" style="1" hidden="1" customWidth="1"/>
    <col min="27" max="27" width="14.109375" style="1" hidden="1" customWidth="1"/>
    <col min="28" max="28" width="12.5546875" style="1" hidden="1" customWidth="1"/>
    <col min="29" max="29" width="11.77734375" style="47" hidden="1" customWidth="1"/>
    <col min="30" max="30" width="14.109375" style="1" bestFit="1" customWidth="1"/>
    <col min="31" max="31" width="13" style="1" bestFit="1" customWidth="1"/>
    <col min="32" max="32" width="14.109375" style="1" bestFit="1" customWidth="1"/>
    <col min="33" max="33" width="13" style="1" bestFit="1" customWidth="1"/>
    <col min="34" max="34" width="14.109375" style="1" bestFit="1" customWidth="1"/>
    <col min="35" max="35" width="13" style="1" bestFit="1" customWidth="1"/>
    <col min="36" max="36" width="11.77734375" style="1" bestFit="1" customWidth="1"/>
    <col min="37" max="37" width="16.5546875" style="1" bestFit="1" customWidth="1"/>
    <col min="38" max="16384" width="35.33203125" style="1"/>
  </cols>
  <sheetData>
    <row r="1" spans="1:36" ht="25.2" thickBot="1" x14ac:dyDescent="0.35">
      <c r="A1" s="201" t="s">
        <v>66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</row>
    <row r="2" spans="1:36" ht="25.2" thickBot="1" x14ac:dyDescent="0.35">
      <c r="A2" s="179"/>
      <c r="B2" s="189" t="s">
        <v>32</v>
      </c>
      <c r="C2" s="190"/>
      <c r="D2" s="184"/>
      <c r="E2" s="184"/>
      <c r="F2" s="184"/>
      <c r="G2" s="184"/>
      <c r="H2" s="185"/>
      <c r="I2" s="189" t="s">
        <v>37</v>
      </c>
      <c r="J2" s="190"/>
      <c r="K2" s="184"/>
      <c r="L2" s="184"/>
      <c r="M2" s="184"/>
      <c r="N2" s="184"/>
      <c r="O2" s="185"/>
      <c r="P2" s="183" t="s">
        <v>40</v>
      </c>
      <c r="Q2" s="184"/>
      <c r="R2" s="184"/>
      <c r="S2" s="184"/>
      <c r="T2" s="184"/>
      <c r="U2" s="184"/>
      <c r="V2" s="185"/>
      <c r="W2" s="183" t="s">
        <v>43</v>
      </c>
      <c r="X2" s="184"/>
      <c r="Y2" s="184"/>
      <c r="Z2" s="184"/>
      <c r="AA2" s="184"/>
      <c r="AB2" s="184"/>
      <c r="AC2" s="185"/>
      <c r="AD2" s="183" t="s">
        <v>68</v>
      </c>
      <c r="AE2" s="184"/>
      <c r="AF2" s="184"/>
      <c r="AG2" s="184"/>
      <c r="AH2" s="184"/>
      <c r="AI2" s="184"/>
      <c r="AJ2" s="185"/>
    </row>
    <row r="3" spans="1:36" ht="21.6" thickBot="1" x14ac:dyDescent="0.35">
      <c r="A3" s="180"/>
      <c r="B3" s="191" t="s">
        <v>44</v>
      </c>
      <c r="C3" s="192"/>
      <c r="D3" s="191" t="s">
        <v>45</v>
      </c>
      <c r="E3" s="192"/>
      <c r="F3" s="191" t="s">
        <v>46</v>
      </c>
      <c r="G3" s="192"/>
      <c r="H3" s="38"/>
      <c r="I3" s="191" t="s">
        <v>44</v>
      </c>
      <c r="J3" s="192"/>
      <c r="K3" s="191" t="s">
        <v>45</v>
      </c>
      <c r="L3" s="192"/>
      <c r="M3" s="191" t="s">
        <v>46</v>
      </c>
      <c r="N3" s="192"/>
      <c r="O3" s="38"/>
      <c r="P3" s="191" t="s">
        <v>44</v>
      </c>
      <c r="Q3" s="192"/>
      <c r="R3" s="191" t="s">
        <v>45</v>
      </c>
      <c r="S3" s="192"/>
      <c r="T3" s="191" t="s">
        <v>46</v>
      </c>
      <c r="U3" s="192"/>
      <c r="V3" s="203" t="s">
        <v>33</v>
      </c>
      <c r="W3" s="191" t="s">
        <v>44</v>
      </c>
      <c r="X3" s="192"/>
      <c r="Y3" s="191" t="s">
        <v>45</v>
      </c>
      <c r="Z3" s="192"/>
      <c r="AA3" s="191" t="s">
        <v>46</v>
      </c>
      <c r="AB3" s="192"/>
      <c r="AC3" s="199" t="s">
        <v>33</v>
      </c>
      <c r="AD3" s="191" t="s">
        <v>44</v>
      </c>
      <c r="AE3" s="192"/>
      <c r="AF3" s="191" t="s">
        <v>45</v>
      </c>
      <c r="AG3" s="192"/>
      <c r="AH3" s="191" t="s">
        <v>46</v>
      </c>
      <c r="AI3" s="192"/>
      <c r="AJ3" s="199" t="s">
        <v>33</v>
      </c>
    </row>
    <row r="4" spans="1:36" ht="23.4" thickBot="1" x14ac:dyDescent="0.35">
      <c r="A4" s="3"/>
      <c r="B4" s="17" t="s">
        <v>38</v>
      </c>
      <c r="C4" s="17" t="s">
        <v>39</v>
      </c>
      <c r="D4" s="17" t="s">
        <v>38</v>
      </c>
      <c r="E4" s="17" t="s">
        <v>39</v>
      </c>
      <c r="F4" s="17" t="s">
        <v>38</v>
      </c>
      <c r="G4" s="17" t="s">
        <v>39</v>
      </c>
      <c r="H4" s="39" t="s">
        <v>33</v>
      </c>
      <c r="I4" s="17" t="s">
        <v>38</v>
      </c>
      <c r="J4" s="17" t="s">
        <v>39</v>
      </c>
      <c r="K4" s="17" t="s">
        <v>38</v>
      </c>
      <c r="L4" s="17" t="s">
        <v>39</v>
      </c>
      <c r="M4" s="17" t="s">
        <v>38</v>
      </c>
      <c r="N4" s="17" t="s">
        <v>39</v>
      </c>
      <c r="O4" s="39" t="s">
        <v>33</v>
      </c>
      <c r="P4" s="17" t="s">
        <v>38</v>
      </c>
      <c r="Q4" s="17" t="s">
        <v>39</v>
      </c>
      <c r="R4" s="17" t="s">
        <v>38</v>
      </c>
      <c r="S4" s="17" t="s">
        <v>39</v>
      </c>
      <c r="T4" s="17" t="s">
        <v>38</v>
      </c>
      <c r="U4" s="17" t="s">
        <v>39</v>
      </c>
      <c r="V4" s="204"/>
      <c r="W4" s="17" t="s">
        <v>38</v>
      </c>
      <c r="X4" s="17" t="s">
        <v>39</v>
      </c>
      <c r="Y4" s="17" t="s">
        <v>38</v>
      </c>
      <c r="Z4" s="17" t="s">
        <v>39</v>
      </c>
      <c r="AA4" s="17" t="s">
        <v>38</v>
      </c>
      <c r="AB4" s="17" t="s">
        <v>39</v>
      </c>
      <c r="AC4" s="200"/>
      <c r="AD4" s="17" t="s">
        <v>38</v>
      </c>
      <c r="AE4" s="17" t="s">
        <v>39</v>
      </c>
      <c r="AF4" s="17" t="s">
        <v>38</v>
      </c>
      <c r="AG4" s="17" t="s">
        <v>39</v>
      </c>
      <c r="AH4" s="17" t="s">
        <v>38</v>
      </c>
      <c r="AI4" s="17" t="s">
        <v>39</v>
      </c>
      <c r="AJ4" s="200"/>
    </row>
    <row r="5" spans="1:36" ht="21" x14ac:dyDescent="0.3">
      <c r="A5" s="13" t="s">
        <v>0</v>
      </c>
      <c r="B5" s="99"/>
      <c r="C5" s="100"/>
      <c r="D5" s="99"/>
      <c r="E5" s="101"/>
      <c r="F5" s="99">
        <v>26</v>
      </c>
      <c r="G5" s="101">
        <v>1</v>
      </c>
      <c r="H5" s="45">
        <f>SUM(B5:G5)</f>
        <v>27</v>
      </c>
      <c r="I5" s="99">
        <v>1463</v>
      </c>
      <c r="J5" s="100">
        <v>234</v>
      </c>
      <c r="K5" s="99">
        <v>14</v>
      </c>
      <c r="L5" s="101">
        <v>3</v>
      </c>
      <c r="M5" s="99">
        <v>17</v>
      </c>
      <c r="N5" s="101">
        <v>0</v>
      </c>
      <c r="O5" s="45">
        <f>SUM(I5:N5)</f>
        <v>1731</v>
      </c>
      <c r="P5" s="110">
        <v>2688</v>
      </c>
      <c r="Q5" s="111">
        <v>432</v>
      </c>
      <c r="R5" s="99">
        <v>101</v>
      </c>
      <c r="S5" s="101">
        <v>37</v>
      </c>
      <c r="T5" s="99">
        <v>26</v>
      </c>
      <c r="U5" s="101">
        <v>2</v>
      </c>
      <c r="V5" s="48">
        <f>SUM(P5:U5)</f>
        <v>3286</v>
      </c>
      <c r="W5" s="99">
        <v>3004</v>
      </c>
      <c r="X5" s="101">
        <v>598</v>
      </c>
      <c r="Y5" s="99">
        <v>105</v>
      </c>
      <c r="Z5" s="101">
        <v>40</v>
      </c>
      <c r="AA5" s="99">
        <v>30</v>
      </c>
      <c r="AB5" s="101">
        <v>3</v>
      </c>
      <c r="AC5" s="49">
        <f>SUM(W5:AB5)</f>
        <v>3780</v>
      </c>
      <c r="AD5" s="99">
        <v>3250</v>
      </c>
      <c r="AE5" s="101">
        <v>728</v>
      </c>
      <c r="AF5" s="99">
        <v>129</v>
      </c>
      <c r="AG5" s="101">
        <v>61</v>
      </c>
      <c r="AH5" s="99">
        <v>45</v>
      </c>
      <c r="AI5" s="101">
        <v>3</v>
      </c>
      <c r="AJ5" s="49">
        <f>SUM(AD5:AI5)</f>
        <v>4216</v>
      </c>
    </row>
    <row r="6" spans="1:36" ht="21" x14ac:dyDescent="0.3">
      <c r="A6" s="14" t="s">
        <v>26</v>
      </c>
      <c r="B6" s="102"/>
      <c r="C6" s="103"/>
      <c r="D6" s="102"/>
      <c r="E6" s="104"/>
      <c r="F6" s="102">
        <v>4</v>
      </c>
      <c r="G6" s="104">
        <v>0</v>
      </c>
      <c r="H6" s="45">
        <f t="shared" ref="H6:H23" si="0">SUM(B6:G6)</f>
        <v>4</v>
      </c>
      <c r="I6" s="102">
        <v>576</v>
      </c>
      <c r="J6" s="103">
        <v>76</v>
      </c>
      <c r="K6" s="102">
        <v>33</v>
      </c>
      <c r="L6" s="104">
        <v>16</v>
      </c>
      <c r="M6" s="102">
        <v>2</v>
      </c>
      <c r="N6" s="104">
        <v>0</v>
      </c>
      <c r="O6" s="45">
        <f t="shared" ref="O6:O23" si="1">SUM(I6:N6)</f>
        <v>703</v>
      </c>
      <c r="P6" s="112">
        <v>627</v>
      </c>
      <c r="Q6" s="113">
        <v>103</v>
      </c>
      <c r="R6" s="102">
        <v>42</v>
      </c>
      <c r="S6" s="104">
        <v>17</v>
      </c>
      <c r="T6" s="102">
        <v>4</v>
      </c>
      <c r="U6" s="104">
        <v>0</v>
      </c>
      <c r="V6" s="48">
        <f t="shared" ref="V6:V23" si="2">SUM(P6:U6)</f>
        <v>793</v>
      </c>
      <c r="W6" s="102">
        <v>668</v>
      </c>
      <c r="X6" s="104">
        <v>121</v>
      </c>
      <c r="Y6" s="102">
        <v>23</v>
      </c>
      <c r="Z6" s="104">
        <v>13</v>
      </c>
      <c r="AA6" s="102">
        <v>3</v>
      </c>
      <c r="AB6" s="104">
        <v>1</v>
      </c>
      <c r="AC6" s="49">
        <f t="shared" ref="AC6:AC23" si="3">SUM(W6:AB6)</f>
        <v>829</v>
      </c>
      <c r="AD6" s="102">
        <v>690</v>
      </c>
      <c r="AE6" s="104">
        <v>141</v>
      </c>
      <c r="AF6" s="102">
        <v>34</v>
      </c>
      <c r="AG6" s="104">
        <v>16</v>
      </c>
      <c r="AH6" s="102">
        <v>3</v>
      </c>
      <c r="AI6" s="104">
        <v>0</v>
      </c>
      <c r="AJ6" s="49">
        <f t="shared" ref="AJ6:AJ23" si="4">SUM(AD6:AI6)</f>
        <v>884</v>
      </c>
    </row>
    <row r="7" spans="1:36" ht="21" x14ac:dyDescent="0.3">
      <c r="A7" s="14" t="s">
        <v>2</v>
      </c>
      <c r="B7" s="105"/>
      <c r="C7" s="106"/>
      <c r="D7" s="105"/>
      <c r="E7" s="107"/>
      <c r="F7" s="105">
        <v>2</v>
      </c>
      <c r="G7" s="107">
        <v>0</v>
      </c>
      <c r="H7" s="45">
        <f t="shared" si="0"/>
        <v>2</v>
      </c>
      <c r="I7" s="105">
        <v>395</v>
      </c>
      <c r="J7" s="106">
        <v>59</v>
      </c>
      <c r="K7" s="105">
        <v>17</v>
      </c>
      <c r="L7" s="107">
        <v>12</v>
      </c>
      <c r="M7" s="105">
        <v>5</v>
      </c>
      <c r="N7" s="107">
        <v>1</v>
      </c>
      <c r="O7" s="45">
        <f t="shared" si="1"/>
        <v>489</v>
      </c>
      <c r="P7" s="114">
        <v>403</v>
      </c>
      <c r="Q7" s="115">
        <v>67</v>
      </c>
      <c r="R7" s="105">
        <v>20</v>
      </c>
      <c r="S7" s="107">
        <v>17</v>
      </c>
      <c r="T7" s="105">
        <v>3</v>
      </c>
      <c r="U7" s="107">
        <v>2</v>
      </c>
      <c r="V7" s="48">
        <f t="shared" si="2"/>
        <v>512</v>
      </c>
      <c r="W7" s="105">
        <v>368</v>
      </c>
      <c r="X7" s="107">
        <v>57</v>
      </c>
      <c r="Y7" s="105">
        <v>22</v>
      </c>
      <c r="Z7" s="107">
        <v>12</v>
      </c>
      <c r="AA7" s="105">
        <v>1</v>
      </c>
      <c r="AB7" s="107">
        <v>0</v>
      </c>
      <c r="AC7" s="49">
        <f t="shared" si="3"/>
        <v>460</v>
      </c>
      <c r="AD7" s="105">
        <v>394</v>
      </c>
      <c r="AE7" s="107">
        <v>59</v>
      </c>
      <c r="AF7" s="105">
        <v>31</v>
      </c>
      <c r="AG7" s="107">
        <v>14</v>
      </c>
      <c r="AH7" s="105">
        <v>3</v>
      </c>
      <c r="AI7" s="107">
        <v>0</v>
      </c>
      <c r="AJ7" s="49">
        <f t="shared" si="4"/>
        <v>501</v>
      </c>
    </row>
    <row r="8" spans="1:36" ht="21" x14ac:dyDescent="0.3">
      <c r="A8" s="14" t="s">
        <v>3</v>
      </c>
      <c r="B8" s="102"/>
      <c r="C8" s="103"/>
      <c r="D8" s="102"/>
      <c r="E8" s="104"/>
      <c r="F8" s="102">
        <v>5</v>
      </c>
      <c r="G8" s="104">
        <v>1</v>
      </c>
      <c r="H8" s="45">
        <f t="shared" si="0"/>
        <v>6</v>
      </c>
      <c r="I8" s="102">
        <v>882</v>
      </c>
      <c r="J8" s="103">
        <v>87</v>
      </c>
      <c r="K8" s="102">
        <v>21</v>
      </c>
      <c r="L8" s="104">
        <v>12</v>
      </c>
      <c r="M8" s="102">
        <v>5</v>
      </c>
      <c r="N8" s="104">
        <v>0</v>
      </c>
      <c r="O8" s="45">
        <f t="shared" si="1"/>
        <v>1007</v>
      </c>
      <c r="P8" s="112">
        <v>958</v>
      </c>
      <c r="Q8" s="113">
        <v>121</v>
      </c>
      <c r="R8" s="102">
        <v>28</v>
      </c>
      <c r="S8" s="104">
        <v>16</v>
      </c>
      <c r="T8" s="102">
        <v>5</v>
      </c>
      <c r="U8" s="104">
        <v>0</v>
      </c>
      <c r="V8" s="48">
        <f t="shared" si="2"/>
        <v>1128</v>
      </c>
      <c r="W8" s="102">
        <v>1063</v>
      </c>
      <c r="X8" s="104">
        <v>162</v>
      </c>
      <c r="Y8" s="102">
        <v>42</v>
      </c>
      <c r="Z8" s="104">
        <v>21</v>
      </c>
      <c r="AA8" s="102">
        <v>7</v>
      </c>
      <c r="AB8" s="104">
        <v>2</v>
      </c>
      <c r="AC8" s="49">
        <f t="shared" si="3"/>
        <v>1297</v>
      </c>
      <c r="AD8" s="102">
        <v>1081</v>
      </c>
      <c r="AE8" s="104">
        <v>176</v>
      </c>
      <c r="AF8" s="102">
        <v>40</v>
      </c>
      <c r="AG8" s="104">
        <v>26</v>
      </c>
      <c r="AH8" s="102">
        <v>12</v>
      </c>
      <c r="AI8" s="104">
        <v>1</v>
      </c>
      <c r="AJ8" s="49">
        <f t="shared" si="4"/>
        <v>1336</v>
      </c>
    </row>
    <row r="9" spans="1:36" ht="21" x14ac:dyDescent="0.3">
      <c r="A9" s="14" t="s">
        <v>4</v>
      </c>
      <c r="B9" s="105"/>
      <c r="C9" s="106"/>
      <c r="D9" s="105"/>
      <c r="E9" s="107"/>
      <c r="F9" s="105">
        <v>8</v>
      </c>
      <c r="G9" s="107">
        <v>0</v>
      </c>
      <c r="H9" s="45">
        <f t="shared" si="0"/>
        <v>8</v>
      </c>
      <c r="I9" s="105">
        <v>893</v>
      </c>
      <c r="J9" s="106">
        <v>167</v>
      </c>
      <c r="K9" s="105">
        <v>40</v>
      </c>
      <c r="L9" s="107">
        <v>36</v>
      </c>
      <c r="M9" s="105">
        <v>11</v>
      </c>
      <c r="N9" s="107">
        <v>1</v>
      </c>
      <c r="O9" s="45">
        <f t="shared" si="1"/>
        <v>1148</v>
      </c>
      <c r="P9" s="114">
        <v>915</v>
      </c>
      <c r="Q9" s="115">
        <v>182</v>
      </c>
      <c r="R9" s="105">
        <v>37</v>
      </c>
      <c r="S9" s="107">
        <v>37</v>
      </c>
      <c r="T9" s="105">
        <v>13</v>
      </c>
      <c r="U9" s="107">
        <v>2</v>
      </c>
      <c r="V9" s="48">
        <f t="shared" si="2"/>
        <v>1186</v>
      </c>
      <c r="W9" s="105">
        <v>884</v>
      </c>
      <c r="X9" s="107">
        <v>193</v>
      </c>
      <c r="Y9" s="105">
        <v>34</v>
      </c>
      <c r="Z9" s="107">
        <v>34</v>
      </c>
      <c r="AA9" s="105">
        <v>11</v>
      </c>
      <c r="AB9" s="107">
        <v>0</v>
      </c>
      <c r="AC9" s="49">
        <f t="shared" si="3"/>
        <v>1156</v>
      </c>
      <c r="AD9" s="105">
        <v>1003</v>
      </c>
      <c r="AE9" s="107">
        <v>242</v>
      </c>
      <c r="AF9" s="105">
        <v>31</v>
      </c>
      <c r="AG9" s="107">
        <v>29</v>
      </c>
      <c r="AH9" s="105">
        <v>13</v>
      </c>
      <c r="AI9" s="107">
        <v>2</v>
      </c>
      <c r="AJ9" s="49">
        <f t="shared" si="4"/>
        <v>1320</v>
      </c>
    </row>
    <row r="10" spans="1:36" ht="21" x14ac:dyDescent="0.3">
      <c r="A10" s="14" t="s">
        <v>5</v>
      </c>
      <c r="B10" s="102"/>
      <c r="C10" s="103"/>
      <c r="D10" s="102"/>
      <c r="E10" s="104"/>
      <c r="F10" s="102">
        <v>1</v>
      </c>
      <c r="G10" s="104">
        <v>0</v>
      </c>
      <c r="H10" s="45">
        <f t="shared" si="0"/>
        <v>1</v>
      </c>
      <c r="I10" s="102">
        <v>298</v>
      </c>
      <c r="J10" s="103">
        <v>35</v>
      </c>
      <c r="K10" s="102">
        <v>11</v>
      </c>
      <c r="L10" s="104">
        <v>9</v>
      </c>
      <c r="M10" s="102">
        <v>1</v>
      </c>
      <c r="N10" s="104">
        <v>0</v>
      </c>
      <c r="O10" s="45">
        <f t="shared" si="1"/>
        <v>354</v>
      </c>
      <c r="P10" s="112">
        <v>318</v>
      </c>
      <c r="Q10" s="113">
        <v>23</v>
      </c>
      <c r="R10" s="102">
        <v>14</v>
      </c>
      <c r="S10" s="104">
        <v>14</v>
      </c>
      <c r="T10" s="102">
        <v>4</v>
      </c>
      <c r="U10" s="104">
        <v>0</v>
      </c>
      <c r="V10" s="48">
        <f t="shared" si="2"/>
        <v>373</v>
      </c>
      <c r="W10" s="102">
        <v>391</v>
      </c>
      <c r="X10" s="104">
        <v>70</v>
      </c>
      <c r="Y10" s="102">
        <v>11</v>
      </c>
      <c r="Z10" s="104">
        <v>13</v>
      </c>
      <c r="AA10" s="102">
        <v>0</v>
      </c>
      <c r="AB10" s="104">
        <v>0</v>
      </c>
      <c r="AC10" s="49">
        <f t="shared" si="3"/>
        <v>485</v>
      </c>
      <c r="AD10" s="102">
        <v>356</v>
      </c>
      <c r="AE10" s="104">
        <v>73</v>
      </c>
      <c r="AF10" s="102">
        <v>6</v>
      </c>
      <c r="AG10" s="104">
        <v>7</v>
      </c>
      <c r="AH10" s="102">
        <v>1</v>
      </c>
      <c r="AI10" s="104">
        <v>0</v>
      </c>
      <c r="AJ10" s="49">
        <f t="shared" si="4"/>
        <v>443</v>
      </c>
    </row>
    <row r="11" spans="1:36" ht="21" x14ac:dyDescent="0.3">
      <c r="A11" s="14" t="s">
        <v>27</v>
      </c>
      <c r="B11" s="105"/>
      <c r="C11" s="106"/>
      <c r="D11" s="105"/>
      <c r="E11" s="107"/>
      <c r="F11" s="105">
        <v>8</v>
      </c>
      <c r="G11" s="107">
        <v>1</v>
      </c>
      <c r="H11" s="45">
        <f t="shared" si="0"/>
        <v>9</v>
      </c>
      <c r="I11" s="105">
        <v>649</v>
      </c>
      <c r="J11" s="106">
        <v>113</v>
      </c>
      <c r="K11" s="105">
        <v>39</v>
      </c>
      <c r="L11" s="107">
        <v>16</v>
      </c>
      <c r="M11" s="105">
        <v>7</v>
      </c>
      <c r="N11" s="107">
        <v>2</v>
      </c>
      <c r="O11" s="45">
        <f t="shared" si="1"/>
        <v>826</v>
      </c>
      <c r="P11" s="114">
        <v>667</v>
      </c>
      <c r="Q11" s="115">
        <v>126</v>
      </c>
      <c r="R11" s="105">
        <v>28</v>
      </c>
      <c r="S11" s="107">
        <v>14</v>
      </c>
      <c r="T11" s="105">
        <v>6</v>
      </c>
      <c r="U11" s="107">
        <v>2</v>
      </c>
      <c r="V11" s="48">
        <f t="shared" si="2"/>
        <v>843</v>
      </c>
      <c r="W11" s="105">
        <v>797</v>
      </c>
      <c r="X11" s="107">
        <v>156</v>
      </c>
      <c r="Y11" s="105">
        <v>23</v>
      </c>
      <c r="Z11" s="107">
        <v>9</v>
      </c>
      <c r="AA11" s="105">
        <v>7</v>
      </c>
      <c r="AB11" s="107">
        <v>3</v>
      </c>
      <c r="AC11" s="49">
        <f t="shared" si="3"/>
        <v>995</v>
      </c>
      <c r="AD11" s="105">
        <v>871</v>
      </c>
      <c r="AE11" s="107">
        <v>203</v>
      </c>
      <c r="AF11" s="105">
        <v>30</v>
      </c>
      <c r="AG11" s="107">
        <v>9</v>
      </c>
      <c r="AH11" s="105">
        <v>10</v>
      </c>
      <c r="AI11" s="107">
        <v>2</v>
      </c>
      <c r="AJ11" s="49">
        <f t="shared" si="4"/>
        <v>1125</v>
      </c>
    </row>
    <row r="12" spans="1:36" ht="21" x14ac:dyDescent="0.3">
      <c r="A12" s="14" t="s">
        <v>28</v>
      </c>
      <c r="B12" s="102"/>
      <c r="C12" s="103"/>
      <c r="D12" s="102"/>
      <c r="E12" s="104"/>
      <c r="F12" s="102">
        <v>2</v>
      </c>
      <c r="G12" s="104">
        <v>2</v>
      </c>
      <c r="H12" s="45">
        <f t="shared" si="0"/>
        <v>4</v>
      </c>
      <c r="I12" s="102">
        <v>903</v>
      </c>
      <c r="J12" s="103">
        <v>151</v>
      </c>
      <c r="K12" s="102">
        <v>18</v>
      </c>
      <c r="L12" s="104">
        <v>17</v>
      </c>
      <c r="M12" s="102">
        <v>7</v>
      </c>
      <c r="N12" s="104">
        <v>4</v>
      </c>
      <c r="O12" s="45">
        <f t="shared" si="1"/>
        <v>1100</v>
      </c>
      <c r="P12" s="112">
        <v>941</v>
      </c>
      <c r="Q12" s="113">
        <v>163</v>
      </c>
      <c r="R12" s="102">
        <v>45</v>
      </c>
      <c r="S12" s="104">
        <v>26</v>
      </c>
      <c r="T12" s="102">
        <v>10</v>
      </c>
      <c r="U12" s="104">
        <v>4</v>
      </c>
      <c r="V12" s="48">
        <f t="shared" si="2"/>
        <v>1189</v>
      </c>
      <c r="W12" s="102">
        <v>962</v>
      </c>
      <c r="X12" s="104">
        <v>181</v>
      </c>
      <c r="Y12" s="102">
        <v>49</v>
      </c>
      <c r="Z12" s="104">
        <v>23</v>
      </c>
      <c r="AA12" s="102">
        <v>9</v>
      </c>
      <c r="AB12" s="104">
        <v>2</v>
      </c>
      <c r="AC12" s="49">
        <f t="shared" si="3"/>
        <v>1226</v>
      </c>
      <c r="AD12" s="102">
        <v>1062</v>
      </c>
      <c r="AE12" s="104">
        <v>197</v>
      </c>
      <c r="AF12" s="102">
        <v>54</v>
      </c>
      <c r="AG12" s="104">
        <v>19</v>
      </c>
      <c r="AH12" s="102">
        <v>7</v>
      </c>
      <c r="AI12" s="104">
        <v>1</v>
      </c>
      <c r="AJ12" s="49">
        <f t="shared" si="4"/>
        <v>1340</v>
      </c>
    </row>
    <row r="13" spans="1:36" ht="21" x14ac:dyDescent="0.3">
      <c r="A13" s="14" t="s">
        <v>8</v>
      </c>
      <c r="B13" s="105"/>
      <c r="C13" s="106"/>
      <c r="D13" s="105"/>
      <c r="E13" s="107"/>
      <c r="F13" s="105">
        <v>1</v>
      </c>
      <c r="G13" s="107">
        <v>0</v>
      </c>
      <c r="H13" s="45">
        <f t="shared" si="0"/>
        <v>1</v>
      </c>
      <c r="I13" s="105">
        <v>531</v>
      </c>
      <c r="J13" s="106">
        <v>128</v>
      </c>
      <c r="K13" s="105">
        <v>3</v>
      </c>
      <c r="L13" s="107">
        <v>0</v>
      </c>
      <c r="M13" s="105">
        <v>2</v>
      </c>
      <c r="N13" s="107">
        <v>0</v>
      </c>
      <c r="O13" s="45">
        <f t="shared" si="1"/>
        <v>664</v>
      </c>
      <c r="P13" s="116">
        <v>4491</v>
      </c>
      <c r="Q13" s="115">
        <v>834</v>
      </c>
      <c r="R13" s="105">
        <v>32</v>
      </c>
      <c r="S13" s="107">
        <v>23</v>
      </c>
      <c r="T13" s="105">
        <v>5</v>
      </c>
      <c r="U13" s="107">
        <v>1</v>
      </c>
      <c r="V13" s="48">
        <f t="shared" si="2"/>
        <v>5386</v>
      </c>
      <c r="W13" s="105">
        <v>1719</v>
      </c>
      <c r="X13" s="107">
        <v>331</v>
      </c>
      <c r="Y13" s="105">
        <v>17</v>
      </c>
      <c r="Z13" s="107">
        <v>11</v>
      </c>
      <c r="AA13" s="105">
        <v>4</v>
      </c>
      <c r="AB13" s="107">
        <v>0</v>
      </c>
      <c r="AC13" s="49">
        <f t="shared" si="3"/>
        <v>2082</v>
      </c>
      <c r="AD13" s="105">
        <v>2714</v>
      </c>
      <c r="AE13" s="107">
        <v>743</v>
      </c>
      <c r="AF13" s="105">
        <v>15</v>
      </c>
      <c r="AG13" s="107">
        <v>12</v>
      </c>
      <c r="AH13" s="105">
        <v>7</v>
      </c>
      <c r="AI13" s="107">
        <v>0</v>
      </c>
      <c r="AJ13" s="49">
        <f t="shared" si="4"/>
        <v>3491</v>
      </c>
    </row>
    <row r="14" spans="1:36" ht="21" x14ac:dyDescent="0.3">
      <c r="A14" s="14" t="s">
        <v>9</v>
      </c>
      <c r="B14" s="105"/>
      <c r="C14" s="107"/>
      <c r="D14" s="105"/>
      <c r="E14" s="107"/>
      <c r="F14" s="105">
        <v>1</v>
      </c>
      <c r="G14" s="107">
        <v>0</v>
      </c>
      <c r="H14" s="45">
        <f t="shared" si="0"/>
        <v>1</v>
      </c>
      <c r="I14" s="105">
        <v>564</v>
      </c>
      <c r="J14" s="107">
        <v>72</v>
      </c>
      <c r="K14" s="105">
        <v>7</v>
      </c>
      <c r="L14" s="107">
        <v>2</v>
      </c>
      <c r="M14" s="105">
        <v>1</v>
      </c>
      <c r="N14" s="107">
        <v>0</v>
      </c>
      <c r="O14" s="45">
        <f t="shared" si="1"/>
        <v>646</v>
      </c>
      <c r="P14" s="116">
        <v>2089</v>
      </c>
      <c r="Q14" s="115">
        <v>261</v>
      </c>
      <c r="R14" s="105">
        <v>31</v>
      </c>
      <c r="S14" s="107">
        <v>24</v>
      </c>
      <c r="T14" s="105">
        <v>4</v>
      </c>
      <c r="U14" s="107">
        <v>0</v>
      </c>
      <c r="V14" s="48">
        <f t="shared" si="2"/>
        <v>2409</v>
      </c>
      <c r="W14" s="105">
        <v>2127</v>
      </c>
      <c r="X14" s="107">
        <v>268</v>
      </c>
      <c r="Y14" s="105">
        <v>36</v>
      </c>
      <c r="Z14" s="107">
        <v>29</v>
      </c>
      <c r="AA14" s="105">
        <v>1</v>
      </c>
      <c r="AB14" s="107">
        <v>0</v>
      </c>
      <c r="AC14" s="49">
        <f t="shared" si="3"/>
        <v>2461</v>
      </c>
      <c r="AD14" s="105">
        <v>2089</v>
      </c>
      <c r="AE14" s="107">
        <v>273</v>
      </c>
      <c r="AF14" s="105">
        <v>46</v>
      </c>
      <c r="AG14" s="107">
        <v>32</v>
      </c>
      <c r="AH14" s="105">
        <v>3</v>
      </c>
      <c r="AI14" s="107">
        <v>0</v>
      </c>
      <c r="AJ14" s="49">
        <f t="shared" si="4"/>
        <v>2443</v>
      </c>
    </row>
    <row r="15" spans="1:36" ht="21" x14ac:dyDescent="0.3">
      <c r="A15" s="14" t="s">
        <v>10</v>
      </c>
      <c r="B15" s="102"/>
      <c r="C15" s="104"/>
      <c r="D15" s="102"/>
      <c r="E15" s="104"/>
      <c r="F15" s="102">
        <v>4</v>
      </c>
      <c r="G15" s="104">
        <v>0</v>
      </c>
      <c r="H15" s="45">
        <f t="shared" si="0"/>
        <v>4</v>
      </c>
      <c r="I15" s="102">
        <v>263</v>
      </c>
      <c r="J15" s="104">
        <v>47</v>
      </c>
      <c r="K15" s="102">
        <v>24</v>
      </c>
      <c r="L15" s="104">
        <v>18</v>
      </c>
      <c r="M15" s="102">
        <v>5</v>
      </c>
      <c r="N15" s="104">
        <v>0</v>
      </c>
      <c r="O15" s="45">
        <f t="shared" si="1"/>
        <v>357</v>
      </c>
      <c r="P15" s="112">
        <v>343</v>
      </c>
      <c r="Q15" s="113">
        <v>60</v>
      </c>
      <c r="R15" s="102">
        <v>19</v>
      </c>
      <c r="S15" s="104">
        <v>18</v>
      </c>
      <c r="T15" s="102">
        <v>7</v>
      </c>
      <c r="U15" s="104">
        <v>1</v>
      </c>
      <c r="V15" s="48">
        <f t="shared" si="2"/>
        <v>448</v>
      </c>
      <c r="W15" s="102">
        <v>376</v>
      </c>
      <c r="X15" s="104">
        <v>93</v>
      </c>
      <c r="Y15" s="102">
        <v>25</v>
      </c>
      <c r="Z15" s="104">
        <v>16</v>
      </c>
      <c r="AA15" s="102">
        <v>5</v>
      </c>
      <c r="AB15" s="104">
        <v>1</v>
      </c>
      <c r="AC15" s="49">
        <f t="shared" si="3"/>
        <v>516</v>
      </c>
      <c r="AD15" s="102">
        <v>400</v>
      </c>
      <c r="AE15" s="104">
        <v>116</v>
      </c>
      <c r="AF15" s="102">
        <v>26</v>
      </c>
      <c r="AG15" s="104">
        <v>21</v>
      </c>
      <c r="AH15" s="102">
        <v>8</v>
      </c>
      <c r="AI15" s="104">
        <v>2</v>
      </c>
      <c r="AJ15" s="49">
        <f t="shared" si="4"/>
        <v>573</v>
      </c>
    </row>
    <row r="16" spans="1:36" ht="21" x14ac:dyDescent="0.3">
      <c r="A16" s="14" t="s">
        <v>11</v>
      </c>
      <c r="B16" s="105"/>
      <c r="C16" s="107"/>
      <c r="D16" s="105"/>
      <c r="E16" s="107"/>
      <c r="F16" s="105">
        <v>15</v>
      </c>
      <c r="G16" s="107">
        <v>2</v>
      </c>
      <c r="H16" s="45">
        <f t="shared" si="0"/>
        <v>17</v>
      </c>
      <c r="I16" s="105">
        <v>1243</v>
      </c>
      <c r="J16" s="107">
        <v>283</v>
      </c>
      <c r="K16" s="105">
        <v>59</v>
      </c>
      <c r="L16" s="107">
        <v>25</v>
      </c>
      <c r="M16" s="105">
        <v>19</v>
      </c>
      <c r="N16" s="107">
        <v>2</v>
      </c>
      <c r="O16" s="45">
        <f t="shared" si="1"/>
        <v>1631</v>
      </c>
      <c r="P16" s="116">
        <v>1372</v>
      </c>
      <c r="Q16" s="115">
        <v>321</v>
      </c>
      <c r="R16" s="105">
        <v>59</v>
      </c>
      <c r="S16" s="107">
        <v>27</v>
      </c>
      <c r="T16" s="105">
        <v>19</v>
      </c>
      <c r="U16" s="107">
        <v>3</v>
      </c>
      <c r="V16" s="48">
        <f t="shared" si="2"/>
        <v>1801</v>
      </c>
      <c r="W16" s="105">
        <v>1516</v>
      </c>
      <c r="X16" s="107">
        <v>343</v>
      </c>
      <c r="Y16" s="105">
        <v>62</v>
      </c>
      <c r="Z16" s="107">
        <v>33</v>
      </c>
      <c r="AA16" s="105">
        <v>16</v>
      </c>
      <c r="AB16" s="107">
        <v>4</v>
      </c>
      <c r="AC16" s="49">
        <f t="shared" si="3"/>
        <v>1974</v>
      </c>
      <c r="AD16" s="105">
        <v>1604</v>
      </c>
      <c r="AE16" s="107">
        <v>410</v>
      </c>
      <c r="AF16" s="105">
        <v>54</v>
      </c>
      <c r="AG16" s="107">
        <v>31</v>
      </c>
      <c r="AH16" s="105">
        <v>22</v>
      </c>
      <c r="AI16" s="107">
        <v>2</v>
      </c>
      <c r="AJ16" s="49">
        <f t="shared" si="4"/>
        <v>2123</v>
      </c>
    </row>
    <row r="17" spans="1:36" ht="21" x14ac:dyDescent="0.3">
      <c r="A17" s="14" t="s">
        <v>12</v>
      </c>
      <c r="B17" s="102"/>
      <c r="C17" s="104"/>
      <c r="D17" s="102"/>
      <c r="E17" s="104"/>
      <c r="F17" s="102">
        <v>9</v>
      </c>
      <c r="G17" s="104">
        <v>4</v>
      </c>
      <c r="H17" s="45">
        <f t="shared" si="0"/>
        <v>13</v>
      </c>
      <c r="I17" s="102">
        <v>2704</v>
      </c>
      <c r="J17" s="104">
        <v>566</v>
      </c>
      <c r="K17" s="102">
        <v>47</v>
      </c>
      <c r="L17" s="104">
        <v>41</v>
      </c>
      <c r="M17" s="102">
        <v>22</v>
      </c>
      <c r="N17" s="104">
        <v>3</v>
      </c>
      <c r="O17" s="45">
        <f t="shared" si="1"/>
        <v>3383</v>
      </c>
      <c r="P17" s="117">
        <v>3140</v>
      </c>
      <c r="Q17" s="113">
        <v>732</v>
      </c>
      <c r="R17" s="102">
        <v>45</v>
      </c>
      <c r="S17" s="104">
        <v>45</v>
      </c>
      <c r="T17" s="102">
        <v>34</v>
      </c>
      <c r="U17" s="104">
        <v>7</v>
      </c>
      <c r="V17" s="48">
        <f t="shared" si="2"/>
        <v>4003</v>
      </c>
      <c r="W17" s="102">
        <v>3365</v>
      </c>
      <c r="X17" s="104">
        <v>830</v>
      </c>
      <c r="Y17" s="102">
        <v>51</v>
      </c>
      <c r="Z17" s="104">
        <v>42</v>
      </c>
      <c r="AA17" s="102">
        <v>38</v>
      </c>
      <c r="AB17" s="104">
        <v>5</v>
      </c>
      <c r="AC17" s="49">
        <f t="shared" si="3"/>
        <v>4331</v>
      </c>
      <c r="AD17" s="102">
        <v>3410</v>
      </c>
      <c r="AE17" s="104">
        <v>993</v>
      </c>
      <c r="AF17" s="102">
        <v>61</v>
      </c>
      <c r="AG17" s="104">
        <v>40</v>
      </c>
      <c r="AH17" s="102">
        <v>55</v>
      </c>
      <c r="AI17" s="104">
        <v>9</v>
      </c>
      <c r="AJ17" s="49">
        <f t="shared" si="4"/>
        <v>4568</v>
      </c>
    </row>
    <row r="18" spans="1:36" ht="21" x14ac:dyDescent="0.3">
      <c r="A18" s="14" t="s">
        <v>13</v>
      </c>
      <c r="B18" s="105"/>
      <c r="C18" s="107"/>
      <c r="D18" s="105"/>
      <c r="E18" s="107"/>
      <c r="F18" s="105">
        <v>12</v>
      </c>
      <c r="G18" s="107">
        <v>3</v>
      </c>
      <c r="H18" s="45">
        <f t="shared" si="0"/>
        <v>15</v>
      </c>
      <c r="I18" s="105">
        <v>823</v>
      </c>
      <c r="J18" s="107">
        <v>164</v>
      </c>
      <c r="K18" s="105">
        <v>22</v>
      </c>
      <c r="L18" s="107">
        <v>22</v>
      </c>
      <c r="M18" s="105">
        <v>7</v>
      </c>
      <c r="N18" s="107">
        <v>4</v>
      </c>
      <c r="O18" s="45">
        <f t="shared" si="1"/>
        <v>1042</v>
      </c>
      <c r="P18" s="114">
        <v>885</v>
      </c>
      <c r="Q18" s="115">
        <v>186</v>
      </c>
      <c r="R18" s="105">
        <v>25</v>
      </c>
      <c r="S18" s="107">
        <v>30</v>
      </c>
      <c r="T18" s="105">
        <v>9</v>
      </c>
      <c r="U18" s="107">
        <v>3</v>
      </c>
      <c r="V18" s="48">
        <f t="shared" si="2"/>
        <v>1138</v>
      </c>
      <c r="W18" s="105">
        <v>975</v>
      </c>
      <c r="X18" s="107">
        <v>212</v>
      </c>
      <c r="Y18" s="105">
        <v>27</v>
      </c>
      <c r="Z18" s="107">
        <v>29</v>
      </c>
      <c r="AA18" s="105">
        <v>10</v>
      </c>
      <c r="AB18" s="107">
        <v>3</v>
      </c>
      <c r="AC18" s="49">
        <f t="shared" si="3"/>
        <v>1256</v>
      </c>
      <c r="AD18" s="105">
        <v>1041</v>
      </c>
      <c r="AE18" s="107">
        <v>268</v>
      </c>
      <c r="AF18" s="105">
        <v>20</v>
      </c>
      <c r="AG18" s="107">
        <v>28</v>
      </c>
      <c r="AH18" s="105">
        <v>9</v>
      </c>
      <c r="AI18" s="107">
        <v>4</v>
      </c>
      <c r="AJ18" s="49">
        <f t="shared" si="4"/>
        <v>1370</v>
      </c>
    </row>
    <row r="19" spans="1:36" ht="21" x14ac:dyDescent="0.3">
      <c r="A19" s="14" t="s">
        <v>14</v>
      </c>
      <c r="B19" s="102"/>
      <c r="C19" s="104"/>
      <c r="D19" s="102"/>
      <c r="E19" s="104"/>
      <c r="F19" s="102">
        <v>17</v>
      </c>
      <c r="G19" s="104">
        <v>4</v>
      </c>
      <c r="H19" s="45">
        <f t="shared" si="0"/>
        <v>21</v>
      </c>
      <c r="I19" s="102">
        <v>683</v>
      </c>
      <c r="J19" s="104">
        <v>237</v>
      </c>
      <c r="K19" s="102">
        <v>19</v>
      </c>
      <c r="L19" s="104">
        <v>19</v>
      </c>
      <c r="M19" s="102">
        <v>14</v>
      </c>
      <c r="N19" s="104">
        <v>1</v>
      </c>
      <c r="O19" s="45">
        <f t="shared" si="1"/>
        <v>973</v>
      </c>
      <c r="P19" s="112">
        <v>752</v>
      </c>
      <c r="Q19" s="113">
        <v>283</v>
      </c>
      <c r="R19" s="102">
        <v>19</v>
      </c>
      <c r="S19" s="104">
        <v>20</v>
      </c>
      <c r="T19" s="102">
        <v>17</v>
      </c>
      <c r="U19" s="104">
        <v>5</v>
      </c>
      <c r="V19" s="48">
        <f t="shared" si="2"/>
        <v>1096</v>
      </c>
      <c r="W19" s="102">
        <v>608</v>
      </c>
      <c r="X19" s="104">
        <v>157</v>
      </c>
      <c r="Y19" s="102">
        <v>19</v>
      </c>
      <c r="Z19" s="104">
        <v>21</v>
      </c>
      <c r="AA19" s="102">
        <v>17</v>
      </c>
      <c r="AB19" s="104">
        <v>3</v>
      </c>
      <c r="AC19" s="49">
        <f t="shared" si="3"/>
        <v>825</v>
      </c>
      <c r="AD19" s="102">
        <v>639</v>
      </c>
      <c r="AE19" s="104">
        <v>172</v>
      </c>
      <c r="AF19" s="102">
        <v>17</v>
      </c>
      <c r="AG19" s="104">
        <v>16</v>
      </c>
      <c r="AH19" s="102">
        <v>17</v>
      </c>
      <c r="AI19" s="104">
        <v>3</v>
      </c>
      <c r="AJ19" s="49">
        <f t="shared" si="4"/>
        <v>864</v>
      </c>
    </row>
    <row r="20" spans="1:36" ht="21" x14ac:dyDescent="0.3">
      <c r="A20" s="14" t="s">
        <v>29</v>
      </c>
      <c r="B20" s="105"/>
      <c r="C20" s="107"/>
      <c r="D20" s="105"/>
      <c r="E20" s="107"/>
      <c r="F20" s="105">
        <v>0</v>
      </c>
      <c r="G20" s="107">
        <v>0</v>
      </c>
      <c r="H20" s="45">
        <f t="shared" si="0"/>
        <v>0</v>
      </c>
      <c r="I20" s="105">
        <v>102</v>
      </c>
      <c r="J20" s="107">
        <v>6</v>
      </c>
      <c r="K20" s="105">
        <v>11</v>
      </c>
      <c r="L20" s="107">
        <v>10</v>
      </c>
      <c r="M20" s="105">
        <v>0</v>
      </c>
      <c r="N20" s="107">
        <v>0</v>
      </c>
      <c r="O20" s="45">
        <f t="shared" si="1"/>
        <v>129</v>
      </c>
      <c r="P20" s="114">
        <v>113</v>
      </c>
      <c r="Q20" s="115">
        <v>9</v>
      </c>
      <c r="R20" s="105">
        <v>10</v>
      </c>
      <c r="S20" s="107">
        <v>12</v>
      </c>
      <c r="T20" s="105">
        <v>0</v>
      </c>
      <c r="U20" s="107">
        <v>0</v>
      </c>
      <c r="V20" s="48">
        <f t="shared" si="2"/>
        <v>144</v>
      </c>
      <c r="W20" s="105">
        <v>128</v>
      </c>
      <c r="X20" s="107">
        <v>10</v>
      </c>
      <c r="Y20" s="105">
        <v>10</v>
      </c>
      <c r="Z20" s="107">
        <v>11</v>
      </c>
      <c r="AA20" s="105">
        <v>0</v>
      </c>
      <c r="AB20" s="107">
        <v>0</v>
      </c>
      <c r="AC20" s="49">
        <f t="shared" si="3"/>
        <v>159</v>
      </c>
      <c r="AD20" s="105">
        <v>123</v>
      </c>
      <c r="AE20" s="107">
        <v>7</v>
      </c>
      <c r="AF20" s="105">
        <v>10</v>
      </c>
      <c r="AG20" s="107">
        <v>11</v>
      </c>
      <c r="AH20" s="105">
        <v>1</v>
      </c>
      <c r="AI20" s="107">
        <v>0</v>
      </c>
      <c r="AJ20" s="49">
        <f t="shared" si="4"/>
        <v>152</v>
      </c>
    </row>
    <row r="21" spans="1:36" ht="21" x14ac:dyDescent="0.3">
      <c r="A21" s="14" t="s">
        <v>16</v>
      </c>
      <c r="B21" s="102"/>
      <c r="C21" s="104"/>
      <c r="D21" s="102"/>
      <c r="E21" s="104"/>
      <c r="F21" s="102">
        <v>4</v>
      </c>
      <c r="G21" s="104">
        <v>2</v>
      </c>
      <c r="H21" s="45">
        <f t="shared" si="0"/>
        <v>6</v>
      </c>
      <c r="I21" s="102">
        <v>2729</v>
      </c>
      <c r="J21" s="104">
        <v>515</v>
      </c>
      <c r="K21" s="102">
        <v>68</v>
      </c>
      <c r="L21" s="104">
        <v>34</v>
      </c>
      <c r="M21" s="102">
        <v>86</v>
      </c>
      <c r="N21" s="104">
        <v>10</v>
      </c>
      <c r="O21" s="45">
        <f t="shared" si="1"/>
        <v>3442</v>
      </c>
      <c r="P21" s="117">
        <v>3011</v>
      </c>
      <c r="Q21" s="113">
        <v>607</v>
      </c>
      <c r="R21" s="102">
        <v>75</v>
      </c>
      <c r="S21" s="104">
        <v>44</v>
      </c>
      <c r="T21" s="102">
        <v>82</v>
      </c>
      <c r="U21" s="104">
        <v>15</v>
      </c>
      <c r="V21" s="48">
        <f t="shared" si="2"/>
        <v>3834</v>
      </c>
      <c r="W21" s="102">
        <v>2853</v>
      </c>
      <c r="X21" s="104">
        <v>641</v>
      </c>
      <c r="Y21" s="102">
        <v>72</v>
      </c>
      <c r="Z21" s="104">
        <v>46</v>
      </c>
      <c r="AA21" s="102">
        <v>92</v>
      </c>
      <c r="AB21" s="104">
        <v>19</v>
      </c>
      <c r="AC21" s="49">
        <f t="shared" si="3"/>
        <v>3723</v>
      </c>
      <c r="AD21" s="102">
        <v>2819</v>
      </c>
      <c r="AE21" s="104">
        <v>695</v>
      </c>
      <c r="AF21" s="102">
        <v>86</v>
      </c>
      <c r="AG21" s="104">
        <v>41</v>
      </c>
      <c r="AH21" s="102">
        <v>120</v>
      </c>
      <c r="AI21" s="104">
        <v>15</v>
      </c>
      <c r="AJ21" s="49">
        <f t="shared" si="4"/>
        <v>3776</v>
      </c>
    </row>
    <row r="22" spans="1:36" ht="21" x14ac:dyDescent="0.3">
      <c r="A22" s="14" t="s">
        <v>17</v>
      </c>
      <c r="B22" s="102"/>
      <c r="C22" s="104"/>
      <c r="D22" s="102"/>
      <c r="E22" s="104"/>
      <c r="F22" s="102">
        <v>1</v>
      </c>
      <c r="G22" s="104">
        <v>0</v>
      </c>
      <c r="H22" s="45">
        <f>SUM(B22:G22)</f>
        <v>1</v>
      </c>
      <c r="I22" s="102">
        <v>14</v>
      </c>
      <c r="J22" s="104">
        <v>2</v>
      </c>
      <c r="K22" s="102">
        <v>2</v>
      </c>
      <c r="L22" s="104">
        <v>4</v>
      </c>
      <c r="M22" s="102">
        <v>1</v>
      </c>
      <c r="N22" s="104">
        <v>0</v>
      </c>
      <c r="O22" s="45">
        <f>SUM(I22:N22)</f>
        <v>23</v>
      </c>
      <c r="P22" s="112">
        <v>23</v>
      </c>
      <c r="Q22" s="113">
        <v>2</v>
      </c>
      <c r="R22" s="102">
        <v>1</v>
      </c>
      <c r="S22" s="104">
        <v>0</v>
      </c>
      <c r="T22" s="102">
        <v>1</v>
      </c>
      <c r="U22" s="104">
        <v>0</v>
      </c>
      <c r="V22" s="48">
        <f>SUM(P22:U22)</f>
        <v>27</v>
      </c>
      <c r="W22" s="102">
        <v>35</v>
      </c>
      <c r="X22" s="104">
        <v>4</v>
      </c>
      <c r="Y22" s="102">
        <v>2</v>
      </c>
      <c r="Z22" s="104">
        <v>5</v>
      </c>
      <c r="AA22" s="102">
        <v>1</v>
      </c>
      <c r="AB22" s="104">
        <v>0</v>
      </c>
      <c r="AC22" s="49">
        <f>SUM(W22:AB22)</f>
        <v>47</v>
      </c>
      <c r="AD22" s="102">
        <v>32</v>
      </c>
      <c r="AE22" s="104">
        <v>7</v>
      </c>
      <c r="AF22" s="102">
        <v>2</v>
      </c>
      <c r="AG22" s="104">
        <v>4</v>
      </c>
      <c r="AH22" s="102">
        <v>1</v>
      </c>
      <c r="AI22" s="104">
        <v>0</v>
      </c>
      <c r="AJ22" s="49">
        <f>SUM(AD22:AI22)</f>
        <v>46</v>
      </c>
    </row>
    <row r="23" spans="1:36" ht="21.6" thickBot="1" x14ac:dyDescent="0.35">
      <c r="A23" s="14" t="s">
        <v>18</v>
      </c>
      <c r="B23" s="108"/>
      <c r="C23" s="109"/>
      <c r="D23" s="108"/>
      <c r="E23" s="109"/>
      <c r="F23" s="108">
        <v>2</v>
      </c>
      <c r="G23" s="109">
        <v>0</v>
      </c>
      <c r="H23" s="45">
        <f t="shared" si="0"/>
        <v>2</v>
      </c>
      <c r="I23" s="108">
        <v>76</v>
      </c>
      <c r="J23" s="109">
        <v>40</v>
      </c>
      <c r="K23" s="108">
        <v>15</v>
      </c>
      <c r="L23" s="109">
        <v>13</v>
      </c>
      <c r="M23" s="108">
        <v>2</v>
      </c>
      <c r="N23" s="109">
        <v>0</v>
      </c>
      <c r="O23" s="45">
        <f t="shared" si="1"/>
        <v>146</v>
      </c>
      <c r="P23" s="118">
        <v>85</v>
      </c>
      <c r="Q23" s="119">
        <v>31</v>
      </c>
      <c r="R23" s="108">
        <v>13</v>
      </c>
      <c r="S23" s="109">
        <v>13</v>
      </c>
      <c r="T23" s="108">
        <v>2</v>
      </c>
      <c r="U23" s="109">
        <v>0</v>
      </c>
      <c r="V23" s="48">
        <f t="shared" si="2"/>
        <v>144</v>
      </c>
      <c r="W23" s="108">
        <v>109</v>
      </c>
      <c r="X23" s="109">
        <v>28</v>
      </c>
      <c r="Y23" s="108">
        <v>8</v>
      </c>
      <c r="Z23" s="109">
        <v>11</v>
      </c>
      <c r="AA23" s="108">
        <v>2</v>
      </c>
      <c r="AB23" s="109">
        <v>0</v>
      </c>
      <c r="AC23" s="50">
        <f t="shared" si="3"/>
        <v>158</v>
      </c>
      <c r="AD23" s="108">
        <v>108</v>
      </c>
      <c r="AE23" s="109">
        <v>33</v>
      </c>
      <c r="AF23" s="108">
        <v>12</v>
      </c>
      <c r="AG23" s="109">
        <v>19</v>
      </c>
      <c r="AH23" s="108">
        <v>1</v>
      </c>
      <c r="AI23" s="109">
        <v>0</v>
      </c>
      <c r="AJ23" s="50">
        <f t="shared" si="4"/>
        <v>173</v>
      </c>
    </row>
    <row r="24" spans="1:36" ht="23.4" thickBot="1" x14ac:dyDescent="0.35">
      <c r="A24" s="4" t="s">
        <v>30</v>
      </c>
      <c r="B24" s="40">
        <f t="shared" ref="B24:AI24" si="5">SUM(B5:B23)</f>
        <v>0</v>
      </c>
      <c r="C24" s="41">
        <f t="shared" si="5"/>
        <v>0</v>
      </c>
      <c r="D24" s="40">
        <f t="shared" si="5"/>
        <v>0</v>
      </c>
      <c r="E24" s="41">
        <f t="shared" si="5"/>
        <v>0</v>
      </c>
      <c r="F24" s="40">
        <f t="shared" si="5"/>
        <v>122</v>
      </c>
      <c r="G24" s="41">
        <f t="shared" si="5"/>
        <v>20</v>
      </c>
      <c r="H24" s="193">
        <f t="shared" si="5"/>
        <v>142</v>
      </c>
      <c r="I24" s="40">
        <f t="shared" si="5"/>
        <v>15791</v>
      </c>
      <c r="J24" s="41">
        <f t="shared" si="5"/>
        <v>2982</v>
      </c>
      <c r="K24" s="40">
        <f t="shared" si="5"/>
        <v>470</v>
      </c>
      <c r="L24" s="41">
        <f t="shared" si="5"/>
        <v>309</v>
      </c>
      <c r="M24" s="40">
        <f t="shared" si="5"/>
        <v>214</v>
      </c>
      <c r="N24" s="41">
        <f t="shared" si="5"/>
        <v>28</v>
      </c>
      <c r="O24" s="193">
        <f t="shared" si="5"/>
        <v>19794</v>
      </c>
      <c r="P24" s="40">
        <f t="shared" si="5"/>
        <v>23821</v>
      </c>
      <c r="Q24" s="41">
        <f t="shared" si="5"/>
        <v>4543</v>
      </c>
      <c r="R24" s="40">
        <f t="shared" si="5"/>
        <v>644</v>
      </c>
      <c r="S24" s="41">
        <f t="shared" si="5"/>
        <v>434</v>
      </c>
      <c r="T24" s="40">
        <f t="shared" si="5"/>
        <v>251</v>
      </c>
      <c r="U24" s="41">
        <f t="shared" si="5"/>
        <v>47</v>
      </c>
      <c r="V24" s="193">
        <f t="shared" si="5"/>
        <v>29740</v>
      </c>
      <c r="W24" s="40">
        <f t="shared" si="5"/>
        <v>21948</v>
      </c>
      <c r="X24" s="41">
        <f t="shared" si="5"/>
        <v>4455</v>
      </c>
      <c r="Y24" s="40">
        <f t="shared" si="5"/>
        <v>638</v>
      </c>
      <c r="Z24" s="41">
        <f t="shared" si="5"/>
        <v>419</v>
      </c>
      <c r="AA24" s="40">
        <f t="shared" si="5"/>
        <v>254</v>
      </c>
      <c r="AB24" s="41">
        <f t="shared" si="5"/>
        <v>46</v>
      </c>
      <c r="AC24" s="198">
        <f t="shared" si="5"/>
        <v>27760</v>
      </c>
      <c r="AD24" s="40">
        <f t="shared" si="5"/>
        <v>23686</v>
      </c>
      <c r="AE24" s="41">
        <f t="shared" si="5"/>
        <v>5536</v>
      </c>
      <c r="AF24" s="40">
        <f t="shared" si="5"/>
        <v>704</v>
      </c>
      <c r="AG24" s="41">
        <f t="shared" si="5"/>
        <v>436</v>
      </c>
      <c r="AH24" s="40">
        <f t="shared" si="5"/>
        <v>338</v>
      </c>
      <c r="AI24" s="41">
        <f t="shared" si="5"/>
        <v>44</v>
      </c>
      <c r="AJ24" s="198">
        <f t="shared" ref="AJ24" si="6">SUM(AJ5:AJ23)</f>
        <v>30744</v>
      </c>
    </row>
    <row r="25" spans="1:36" ht="23.4" thickBot="1" x14ac:dyDescent="0.35">
      <c r="A25" s="15"/>
      <c r="B25" s="195">
        <f>SUM(B24:C24)</f>
        <v>0</v>
      </c>
      <c r="C25" s="196"/>
      <c r="D25" s="195">
        <f>SUM(D24:E24)</f>
        <v>0</v>
      </c>
      <c r="E25" s="196"/>
      <c r="F25" s="195">
        <f>SUM(F24:G24)</f>
        <v>142</v>
      </c>
      <c r="G25" s="197"/>
      <c r="H25" s="194"/>
      <c r="I25" s="195">
        <f>SUM(I24:J24)</f>
        <v>18773</v>
      </c>
      <c r="J25" s="196"/>
      <c r="K25" s="195">
        <f>SUM(K24:L24)</f>
        <v>779</v>
      </c>
      <c r="L25" s="196"/>
      <c r="M25" s="195">
        <f>SUM(M24:N24)</f>
        <v>242</v>
      </c>
      <c r="N25" s="197"/>
      <c r="O25" s="194"/>
      <c r="P25" s="197">
        <f>SUM(P24:Q24)</f>
        <v>28364</v>
      </c>
      <c r="Q25" s="196"/>
      <c r="R25" s="195">
        <f>SUM(R24:S24)</f>
        <v>1078</v>
      </c>
      <c r="S25" s="196"/>
      <c r="T25" s="195">
        <f>SUM(T24:U24)</f>
        <v>298</v>
      </c>
      <c r="U25" s="197"/>
      <c r="V25" s="194"/>
      <c r="W25" s="197">
        <f>+W24+X24</f>
        <v>26403</v>
      </c>
      <c r="X25" s="196"/>
      <c r="Y25" s="195">
        <f>+Y24+Z24</f>
        <v>1057</v>
      </c>
      <c r="Z25" s="196"/>
      <c r="AA25" s="195">
        <f>+AA24+AB24</f>
        <v>300</v>
      </c>
      <c r="AB25" s="197"/>
      <c r="AC25" s="194"/>
      <c r="AD25" s="197">
        <f>+AD24+AE24</f>
        <v>29222</v>
      </c>
      <c r="AE25" s="196"/>
      <c r="AF25" s="195">
        <f>+AF24+AG24</f>
        <v>1140</v>
      </c>
      <c r="AG25" s="196"/>
      <c r="AH25" s="195">
        <f>+AH24+AI24</f>
        <v>382</v>
      </c>
      <c r="AI25" s="197"/>
      <c r="AJ25" s="194"/>
    </row>
    <row r="26" spans="1:36" s="6" customFormat="1" ht="16.2" thickBot="1" x14ac:dyDescent="0.35">
      <c r="A26" s="5" t="s">
        <v>31</v>
      </c>
      <c r="B26" s="9"/>
      <c r="C26" s="9"/>
      <c r="D26" s="8"/>
      <c r="E26" s="8"/>
      <c r="F26" s="9"/>
      <c r="G26" s="9"/>
      <c r="H26" s="46"/>
      <c r="I26" s="9"/>
      <c r="J26" s="9"/>
      <c r="K26" s="8"/>
      <c r="L26" s="8"/>
      <c r="M26" s="9"/>
      <c r="N26" s="9"/>
      <c r="O26" s="46"/>
      <c r="P26" s="8"/>
      <c r="Q26" s="8"/>
      <c r="R26" s="8"/>
      <c r="S26" s="8"/>
      <c r="T26" s="9"/>
      <c r="U26" s="9"/>
      <c r="V26" s="46"/>
      <c r="W26" s="9"/>
      <c r="X26" s="9"/>
      <c r="Y26" s="9"/>
      <c r="Z26" s="9"/>
      <c r="AA26" s="9"/>
      <c r="AB26" s="9"/>
      <c r="AC26" s="46"/>
      <c r="AD26" s="9"/>
      <c r="AE26" s="9"/>
      <c r="AF26" s="9"/>
      <c r="AG26" s="9"/>
      <c r="AH26" s="9"/>
      <c r="AI26" s="9"/>
      <c r="AJ26" s="46"/>
    </row>
    <row r="27" spans="1:36" x14ac:dyDescent="0.3">
      <c r="E27" s="12"/>
      <c r="L27" s="12"/>
      <c r="S27" s="12"/>
    </row>
    <row r="28" spans="1:36" hidden="1" x14ac:dyDescent="0.3"/>
    <row r="29" spans="1:36" hidden="1" x14ac:dyDescent="0.3"/>
    <row r="30" spans="1:36" hidden="1" x14ac:dyDescent="0.3"/>
    <row r="31" spans="1:36" x14ac:dyDescent="0.3">
      <c r="H31" s="12"/>
      <c r="O31" s="12"/>
      <c r="V31" s="12"/>
    </row>
    <row r="32" spans="1:36" x14ac:dyDescent="0.3">
      <c r="H32" s="1"/>
      <c r="O32" s="1"/>
      <c r="V32" s="1"/>
    </row>
    <row r="33" spans="8:33" x14ac:dyDescent="0.3">
      <c r="H33" s="1"/>
      <c r="O33" s="1"/>
      <c r="V33" s="1"/>
      <c r="AG33" s="12">
        <f>+AF25+AH25</f>
        <v>1522</v>
      </c>
    </row>
  </sheetData>
  <mergeCells count="44">
    <mergeCell ref="T25:U25"/>
    <mergeCell ref="V3:V4"/>
    <mergeCell ref="O24:O25"/>
    <mergeCell ref="K3:L3"/>
    <mergeCell ref="K25:L25"/>
    <mergeCell ref="M25:N25"/>
    <mergeCell ref="I25:J25"/>
    <mergeCell ref="I3:J3"/>
    <mergeCell ref="A1:AJ1"/>
    <mergeCell ref="P25:Q25"/>
    <mergeCell ref="R25:S25"/>
    <mergeCell ref="W25:X25"/>
    <mergeCell ref="Y25:Z25"/>
    <mergeCell ref="AA25:AB25"/>
    <mergeCell ref="AC24:AC25"/>
    <mergeCell ref="V24:V25"/>
    <mergeCell ref="W2:AC2"/>
    <mergeCell ref="P2:V2"/>
    <mergeCell ref="I2:O2"/>
    <mergeCell ref="W3:X3"/>
    <mergeCell ref="Y3:Z3"/>
    <mergeCell ref="AA3:AB3"/>
    <mergeCell ref="AC3:AC4"/>
    <mergeCell ref="P3:Q3"/>
    <mergeCell ref="R3:S3"/>
    <mergeCell ref="T3:U3"/>
    <mergeCell ref="M3:N3"/>
    <mergeCell ref="AJ24:AJ25"/>
    <mergeCell ref="AD25:AE25"/>
    <mergeCell ref="AF25:AG25"/>
    <mergeCell ref="AH25:AI25"/>
    <mergeCell ref="AD2:AJ2"/>
    <mergeCell ref="AD3:AE3"/>
    <mergeCell ref="AF3:AG3"/>
    <mergeCell ref="AH3:AI3"/>
    <mergeCell ref="AJ3:AJ4"/>
    <mergeCell ref="B2:H2"/>
    <mergeCell ref="B3:C3"/>
    <mergeCell ref="D3:E3"/>
    <mergeCell ref="F3:G3"/>
    <mergeCell ref="H24:H25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70" zoomScaleNormal="70" workbookViewId="0">
      <pane xSplit="1" topLeftCell="B1" activePane="topRight" state="frozen"/>
      <selection activeCell="U9" sqref="U9"/>
      <selection pane="topRight" activeCell="C25" sqref="C25"/>
    </sheetView>
  </sheetViews>
  <sheetFormatPr baseColWidth="10" defaultColWidth="11.44140625" defaultRowHeight="13.2" x14ac:dyDescent="0.3"/>
  <cols>
    <col min="1" max="1" width="29.6640625" style="42" bestFit="1" customWidth="1"/>
    <col min="2" max="10" width="13.6640625" style="1" customWidth="1"/>
    <col min="11" max="11" width="11.44140625" style="166"/>
    <col min="12" max="16384" width="11.44140625" style="1"/>
  </cols>
  <sheetData>
    <row r="1" spans="1:11" ht="41.25" customHeight="1" x14ac:dyDescent="0.3">
      <c r="A1" s="179"/>
      <c r="B1" s="205" t="s">
        <v>36</v>
      </c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5.2" thickBot="1" x14ac:dyDescent="0.35">
      <c r="A2" s="180"/>
      <c r="B2" s="43">
        <v>2008</v>
      </c>
      <c r="C2" s="43">
        <v>2009</v>
      </c>
      <c r="D2" s="43">
        <v>2010</v>
      </c>
      <c r="E2" s="44">
        <v>2011</v>
      </c>
      <c r="F2" s="44">
        <v>2012</v>
      </c>
      <c r="G2" s="44">
        <v>2013</v>
      </c>
      <c r="H2" s="44">
        <v>2014</v>
      </c>
      <c r="I2" s="44">
        <v>2015</v>
      </c>
      <c r="J2" s="44">
        <v>2016</v>
      </c>
      <c r="K2" s="44">
        <v>2017</v>
      </c>
    </row>
    <row r="3" spans="1:11" ht="21" x14ac:dyDescent="0.3">
      <c r="A3" s="172" t="s">
        <v>0</v>
      </c>
      <c r="B3" s="173">
        <v>55</v>
      </c>
      <c r="C3" s="173">
        <v>59</v>
      </c>
      <c r="D3" s="173">
        <v>71</v>
      </c>
      <c r="E3" s="173">
        <v>78</v>
      </c>
      <c r="F3" s="173">
        <v>84</v>
      </c>
      <c r="G3" s="170">
        <v>118</v>
      </c>
      <c r="H3" s="170">
        <v>150</v>
      </c>
      <c r="I3" s="170">
        <v>169</v>
      </c>
      <c r="J3" s="170">
        <v>186</v>
      </c>
      <c r="K3" s="170">
        <v>198</v>
      </c>
    </row>
    <row r="4" spans="1:11" ht="21" x14ac:dyDescent="0.3">
      <c r="A4" s="172" t="s">
        <v>1</v>
      </c>
      <c r="B4" s="174">
        <v>11</v>
      </c>
      <c r="C4" s="174">
        <v>13</v>
      </c>
      <c r="D4" s="174">
        <v>13</v>
      </c>
      <c r="E4" s="174">
        <v>15</v>
      </c>
      <c r="F4" s="174">
        <v>16</v>
      </c>
      <c r="G4" s="171">
        <v>26</v>
      </c>
      <c r="H4" s="171">
        <v>26</v>
      </c>
      <c r="I4" s="171">
        <v>27</v>
      </c>
      <c r="J4" s="171">
        <v>28</v>
      </c>
      <c r="K4" s="171">
        <v>28</v>
      </c>
    </row>
    <row r="5" spans="1:11" ht="21" x14ac:dyDescent="0.3">
      <c r="A5" s="172" t="s">
        <v>2</v>
      </c>
      <c r="B5" s="173">
        <v>14</v>
      </c>
      <c r="C5" s="173">
        <v>17</v>
      </c>
      <c r="D5" s="173">
        <v>17</v>
      </c>
      <c r="E5" s="173">
        <v>22</v>
      </c>
      <c r="F5" s="173">
        <v>23</v>
      </c>
      <c r="G5" s="170">
        <v>22</v>
      </c>
      <c r="H5" s="170">
        <v>27</v>
      </c>
      <c r="I5" s="170">
        <v>30</v>
      </c>
      <c r="J5" s="170">
        <v>32</v>
      </c>
      <c r="K5" s="170">
        <v>31</v>
      </c>
    </row>
    <row r="6" spans="1:11" ht="21" x14ac:dyDescent="0.3">
      <c r="A6" s="172" t="s">
        <v>3</v>
      </c>
      <c r="B6" s="174">
        <v>14</v>
      </c>
      <c r="C6" s="174">
        <v>15</v>
      </c>
      <c r="D6" s="174">
        <v>24</v>
      </c>
      <c r="E6" s="174">
        <v>31</v>
      </c>
      <c r="F6" s="174">
        <v>36</v>
      </c>
      <c r="G6" s="171">
        <v>44</v>
      </c>
      <c r="H6" s="171">
        <v>51</v>
      </c>
      <c r="I6" s="171">
        <v>56</v>
      </c>
      <c r="J6" s="171">
        <v>61</v>
      </c>
      <c r="K6" s="171">
        <v>68</v>
      </c>
    </row>
    <row r="7" spans="1:11" ht="21" x14ac:dyDescent="0.3">
      <c r="A7" s="172" t="s">
        <v>4</v>
      </c>
      <c r="B7" s="173">
        <v>37</v>
      </c>
      <c r="C7" s="173">
        <v>42</v>
      </c>
      <c r="D7" s="173">
        <v>43</v>
      </c>
      <c r="E7" s="173">
        <v>48</v>
      </c>
      <c r="F7" s="173">
        <v>51</v>
      </c>
      <c r="G7" s="170">
        <v>52</v>
      </c>
      <c r="H7" s="170">
        <v>54</v>
      </c>
      <c r="I7" s="170">
        <v>55</v>
      </c>
      <c r="J7" s="170">
        <v>56</v>
      </c>
      <c r="K7" s="170">
        <v>53</v>
      </c>
    </row>
    <row r="8" spans="1:11" ht="21" x14ac:dyDescent="0.3">
      <c r="A8" s="172" t="s">
        <v>5</v>
      </c>
      <c r="B8" s="174">
        <v>16</v>
      </c>
      <c r="C8" s="174">
        <v>15</v>
      </c>
      <c r="D8" s="174">
        <v>17</v>
      </c>
      <c r="E8" s="174">
        <v>15</v>
      </c>
      <c r="F8" s="174">
        <v>17</v>
      </c>
      <c r="G8" s="171">
        <v>17</v>
      </c>
      <c r="H8" s="171">
        <v>15</v>
      </c>
      <c r="I8" s="171">
        <v>19</v>
      </c>
      <c r="J8" s="171">
        <v>18</v>
      </c>
      <c r="K8" s="171">
        <v>17</v>
      </c>
    </row>
    <row r="9" spans="1:11" ht="21" x14ac:dyDescent="0.3">
      <c r="A9" s="172" t="s">
        <v>6</v>
      </c>
      <c r="B9" s="173">
        <v>16</v>
      </c>
      <c r="C9" s="173">
        <v>16</v>
      </c>
      <c r="D9" s="173">
        <v>18</v>
      </c>
      <c r="E9" s="173">
        <v>21</v>
      </c>
      <c r="F9" s="173">
        <v>21</v>
      </c>
      <c r="G9" s="170">
        <v>27</v>
      </c>
      <c r="H9" s="170">
        <v>30</v>
      </c>
      <c r="I9" s="170">
        <v>31</v>
      </c>
      <c r="J9" s="170">
        <v>34</v>
      </c>
      <c r="K9" s="170">
        <v>37</v>
      </c>
    </row>
    <row r="10" spans="1:11" ht="21" x14ac:dyDescent="0.3">
      <c r="A10" s="172" t="s">
        <v>7</v>
      </c>
      <c r="B10" s="174">
        <v>19</v>
      </c>
      <c r="C10" s="174">
        <v>22</v>
      </c>
      <c r="D10" s="174">
        <v>27</v>
      </c>
      <c r="E10" s="174">
        <v>29</v>
      </c>
      <c r="F10" s="174">
        <v>33</v>
      </c>
      <c r="G10" s="171">
        <v>39</v>
      </c>
      <c r="H10" s="171">
        <v>44</v>
      </c>
      <c r="I10" s="171">
        <v>52</v>
      </c>
      <c r="J10" s="171">
        <v>56</v>
      </c>
      <c r="K10" s="171">
        <v>55</v>
      </c>
    </row>
    <row r="11" spans="1:11" ht="21" x14ac:dyDescent="0.3">
      <c r="A11" s="172" t="s">
        <v>8</v>
      </c>
      <c r="B11" s="173">
        <v>64</v>
      </c>
      <c r="C11" s="173">
        <v>83</v>
      </c>
      <c r="D11" s="173">
        <v>98</v>
      </c>
      <c r="E11" s="173">
        <v>125</v>
      </c>
      <c r="F11" s="173">
        <v>156</v>
      </c>
      <c r="G11" s="169">
        <v>184</v>
      </c>
      <c r="H11" s="169">
        <v>40</v>
      </c>
      <c r="I11" s="169">
        <v>198</v>
      </c>
      <c r="J11" s="169">
        <v>55</v>
      </c>
      <c r="K11" s="169">
        <v>71</v>
      </c>
    </row>
    <row r="12" spans="1:11" ht="21" x14ac:dyDescent="0.3">
      <c r="A12" s="175" t="s">
        <v>17</v>
      </c>
      <c r="B12" s="174">
        <v>3</v>
      </c>
      <c r="C12" s="174">
        <v>3</v>
      </c>
      <c r="D12" s="174">
        <v>3</v>
      </c>
      <c r="E12" s="174">
        <v>3</v>
      </c>
      <c r="F12" s="174">
        <v>3</v>
      </c>
      <c r="G12" s="171">
        <v>2</v>
      </c>
      <c r="H12" s="171">
        <v>1</v>
      </c>
      <c r="I12" s="171">
        <v>2</v>
      </c>
      <c r="J12" s="171">
        <v>4</v>
      </c>
      <c r="K12" s="171">
        <v>2</v>
      </c>
    </row>
    <row r="13" spans="1:11" ht="21" x14ac:dyDescent="0.3">
      <c r="A13" s="172" t="s">
        <v>9</v>
      </c>
      <c r="B13" s="173">
        <v>39</v>
      </c>
      <c r="C13" s="173">
        <v>46</v>
      </c>
      <c r="D13" s="173">
        <v>57</v>
      </c>
      <c r="E13" s="173">
        <v>57</v>
      </c>
      <c r="F13" s="173">
        <v>60</v>
      </c>
      <c r="G13" s="170">
        <v>65</v>
      </c>
      <c r="H13" s="170">
        <v>87</v>
      </c>
      <c r="I13" s="170">
        <v>90</v>
      </c>
      <c r="J13" s="170">
        <v>92</v>
      </c>
      <c r="K13" s="170">
        <v>97</v>
      </c>
    </row>
    <row r="14" spans="1:11" ht="21" x14ac:dyDescent="0.3">
      <c r="A14" s="172" t="s">
        <v>10</v>
      </c>
      <c r="B14" s="174">
        <v>5</v>
      </c>
      <c r="C14" s="174">
        <v>6</v>
      </c>
      <c r="D14" s="174">
        <v>8</v>
      </c>
      <c r="E14" s="174">
        <v>9</v>
      </c>
      <c r="F14" s="174">
        <v>8</v>
      </c>
      <c r="G14" s="171">
        <v>10</v>
      </c>
      <c r="H14" s="171">
        <v>13</v>
      </c>
      <c r="I14" s="171">
        <v>15</v>
      </c>
      <c r="J14" s="171">
        <v>17</v>
      </c>
      <c r="K14" s="171">
        <v>16</v>
      </c>
    </row>
    <row r="15" spans="1:11" ht="21" x14ac:dyDescent="0.3">
      <c r="A15" s="172" t="s">
        <v>11</v>
      </c>
      <c r="B15" s="173">
        <v>17</v>
      </c>
      <c r="C15" s="173">
        <v>23</v>
      </c>
      <c r="D15" s="173">
        <v>25</v>
      </c>
      <c r="E15" s="173">
        <v>22</v>
      </c>
      <c r="F15" s="173">
        <v>25</v>
      </c>
      <c r="G15" s="170">
        <v>27</v>
      </c>
      <c r="H15" s="170">
        <v>38</v>
      </c>
      <c r="I15" s="170">
        <v>46</v>
      </c>
      <c r="J15" s="170">
        <v>50</v>
      </c>
      <c r="K15" s="170">
        <v>54</v>
      </c>
    </row>
    <row r="16" spans="1:11" ht="21" x14ac:dyDescent="0.3">
      <c r="A16" s="172" t="s">
        <v>12</v>
      </c>
      <c r="B16" s="174">
        <v>41</v>
      </c>
      <c r="C16" s="174">
        <v>41</v>
      </c>
      <c r="D16" s="174">
        <v>51</v>
      </c>
      <c r="E16" s="174">
        <v>53</v>
      </c>
      <c r="F16" s="174">
        <v>72</v>
      </c>
      <c r="G16" s="171">
        <v>75</v>
      </c>
      <c r="H16" s="171">
        <v>75</v>
      </c>
      <c r="I16" s="171">
        <v>91</v>
      </c>
      <c r="J16" s="171">
        <v>107</v>
      </c>
      <c r="K16" s="171">
        <v>114</v>
      </c>
    </row>
    <row r="17" spans="1:11" ht="21" x14ac:dyDescent="0.3">
      <c r="A17" s="175" t="s">
        <v>13</v>
      </c>
      <c r="B17" s="173">
        <v>20</v>
      </c>
      <c r="C17" s="173">
        <v>21</v>
      </c>
      <c r="D17" s="173">
        <v>21</v>
      </c>
      <c r="E17" s="173">
        <v>22</v>
      </c>
      <c r="F17" s="173">
        <v>29</v>
      </c>
      <c r="G17" s="170">
        <v>37</v>
      </c>
      <c r="H17" s="170">
        <v>36</v>
      </c>
      <c r="I17" s="170">
        <v>40</v>
      </c>
      <c r="J17" s="170">
        <v>41</v>
      </c>
      <c r="K17" s="170">
        <v>44</v>
      </c>
    </row>
    <row r="18" spans="1:11" ht="21" x14ac:dyDescent="0.3">
      <c r="A18" s="175" t="s">
        <v>14</v>
      </c>
      <c r="B18" s="174">
        <v>12</v>
      </c>
      <c r="C18" s="174">
        <v>12</v>
      </c>
      <c r="D18" s="174">
        <v>14</v>
      </c>
      <c r="E18" s="174">
        <v>12</v>
      </c>
      <c r="F18" s="174">
        <v>20</v>
      </c>
      <c r="G18" s="171">
        <v>19</v>
      </c>
      <c r="H18" s="171">
        <v>25</v>
      </c>
      <c r="I18" s="171">
        <v>26</v>
      </c>
      <c r="J18" s="171">
        <v>28</v>
      </c>
      <c r="K18" s="171">
        <v>33</v>
      </c>
    </row>
    <row r="19" spans="1:11" ht="21" x14ac:dyDescent="0.3">
      <c r="A19" s="175" t="s">
        <v>15</v>
      </c>
      <c r="B19" s="173">
        <v>3</v>
      </c>
      <c r="C19" s="173">
        <v>2</v>
      </c>
      <c r="D19" s="173">
        <v>2</v>
      </c>
      <c r="E19" s="173">
        <v>4</v>
      </c>
      <c r="F19" s="173">
        <v>4</v>
      </c>
      <c r="G19" s="170">
        <v>5</v>
      </c>
      <c r="H19" s="170">
        <v>7</v>
      </c>
      <c r="I19" s="170">
        <v>7</v>
      </c>
      <c r="J19" s="170">
        <v>9</v>
      </c>
      <c r="K19" s="170">
        <v>10</v>
      </c>
    </row>
    <row r="20" spans="1:11" ht="21" x14ac:dyDescent="0.3">
      <c r="A20" s="175" t="s">
        <v>16</v>
      </c>
      <c r="B20" s="174">
        <v>68</v>
      </c>
      <c r="C20" s="174">
        <v>74</v>
      </c>
      <c r="D20" s="174">
        <v>77</v>
      </c>
      <c r="E20" s="174">
        <v>89</v>
      </c>
      <c r="F20" s="174">
        <v>107</v>
      </c>
      <c r="G20" s="171">
        <v>132</v>
      </c>
      <c r="H20" s="171">
        <v>144</v>
      </c>
      <c r="I20" s="171">
        <v>164</v>
      </c>
      <c r="J20" s="171">
        <v>160</v>
      </c>
      <c r="K20" s="171">
        <v>174</v>
      </c>
    </row>
    <row r="21" spans="1:11" ht="21" x14ac:dyDescent="0.3">
      <c r="A21" s="175" t="s">
        <v>18</v>
      </c>
      <c r="B21" s="173">
        <v>0</v>
      </c>
      <c r="C21" s="173">
        <v>0</v>
      </c>
      <c r="D21" s="173">
        <v>2</v>
      </c>
      <c r="E21" s="173">
        <v>5</v>
      </c>
      <c r="F21" s="173">
        <v>5</v>
      </c>
      <c r="G21" s="170">
        <v>3</v>
      </c>
      <c r="H21" s="170">
        <v>3</v>
      </c>
      <c r="I21" s="170">
        <v>3</v>
      </c>
      <c r="J21" s="170">
        <v>4</v>
      </c>
      <c r="K21" s="170">
        <v>7</v>
      </c>
    </row>
    <row r="22" spans="1:11" ht="25.2" thickBot="1" x14ac:dyDescent="0.35">
      <c r="A22" s="176" t="s">
        <v>33</v>
      </c>
      <c r="B22" s="177">
        <f t="shared" ref="B22:D22" si="0">SUM(B3:B21)</f>
        <v>454</v>
      </c>
      <c r="C22" s="177">
        <f t="shared" si="0"/>
        <v>510</v>
      </c>
      <c r="D22" s="177">
        <f t="shared" si="0"/>
        <v>588</v>
      </c>
      <c r="E22" s="177">
        <f t="shared" ref="E22:I22" si="1">SUM(E3:E21)</f>
        <v>660</v>
      </c>
      <c r="F22" s="177">
        <f t="shared" si="1"/>
        <v>770</v>
      </c>
      <c r="G22" s="177">
        <f t="shared" si="1"/>
        <v>904</v>
      </c>
      <c r="H22" s="177">
        <f t="shared" si="1"/>
        <v>866</v>
      </c>
      <c r="I22" s="177">
        <f t="shared" si="1"/>
        <v>1121</v>
      </c>
      <c r="J22" s="177">
        <f>SUM(J3:J21)</f>
        <v>1038</v>
      </c>
      <c r="K22" s="177">
        <f>SUM(K3:K21)</f>
        <v>1109</v>
      </c>
    </row>
  </sheetData>
  <mergeCells count="1">
    <mergeCell ref="B1:K1"/>
  </mergeCells>
  <printOptions horizontalCentered="1" verticalCentered="1"/>
  <pageMargins left="0" right="0" top="0" bottom="0" header="3.1496062992125986" footer="0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workbookViewId="0">
      <pane xSplit="1" topLeftCell="B1" activePane="topRight" state="frozen"/>
      <selection pane="topRight" activeCell="AC16" sqref="AC16"/>
    </sheetView>
  </sheetViews>
  <sheetFormatPr baseColWidth="10" defaultColWidth="11.5546875" defaultRowHeight="15.6" x14ac:dyDescent="0.3"/>
  <cols>
    <col min="1" max="1" width="18.6640625" style="10" customWidth="1"/>
    <col min="2" max="12" width="9.6640625" style="10" customWidth="1"/>
    <col min="13" max="13" width="9.6640625" style="51" customWidth="1"/>
    <col min="14" max="15" width="9.6640625" style="10" customWidth="1"/>
    <col min="16" max="16" width="9.6640625" style="51" customWidth="1"/>
    <col min="17" max="18" width="9.6640625" style="10" customWidth="1"/>
    <col min="19" max="19" width="9.6640625" style="51" customWidth="1"/>
    <col min="20" max="21" width="9.6640625" style="10" customWidth="1"/>
    <col min="22" max="22" width="9.6640625" style="51" customWidth="1"/>
    <col min="23" max="24" width="9.6640625" style="10" customWidth="1"/>
    <col min="25" max="25" width="9.6640625" style="51" customWidth="1"/>
    <col min="26" max="16384" width="11.5546875" style="10"/>
  </cols>
  <sheetData>
    <row r="1" spans="1:25" ht="17.399999999999999" x14ac:dyDescent="0.25">
      <c r="A1" s="209" t="s">
        <v>47</v>
      </c>
      <c r="B1" s="211">
        <v>2010</v>
      </c>
      <c r="C1" s="207"/>
      <c r="D1" s="208"/>
      <c r="E1" s="211">
        <v>2011</v>
      </c>
      <c r="F1" s="207"/>
      <c r="G1" s="208"/>
      <c r="H1" s="211">
        <v>2012</v>
      </c>
      <c r="I1" s="207"/>
      <c r="J1" s="208"/>
      <c r="K1" s="211">
        <v>2013</v>
      </c>
      <c r="L1" s="207"/>
      <c r="M1" s="208"/>
      <c r="N1" s="212">
        <v>2014</v>
      </c>
      <c r="O1" s="207"/>
      <c r="P1" s="207"/>
      <c r="Q1" s="207">
        <v>2015</v>
      </c>
      <c r="R1" s="207"/>
      <c r="S1" s="207"/>
      <c r="T1" s="207">
        <v>2016</v>
      </c>
      <c r="U1" s="207"/>
      <c r="V1" s="208"/>
      <c r="W1" s="207">
        <v>2017</v>
      </c>
      <c r="X1" s="207"/>
      <c r="Y1" s="208"/>
    </row>
    <row r="2" spans="1:25" x14ac:dyDescent="0.25">
      <c r="A2" s="210"/>
      <c r="B2" s="87" t="s">
        <v>41</v>
      </c>
      <c r="C2" s="88" t="s">
        <v>42</v>
      </c>
      <c r="D2" s="89" t="s">
        <v>33</v>
      </c>
      <c r="E2" s="87" t="s">
        <v>41</v>
      </c>
      <c r="F2" s="88" t="s">
        <v>42</v>
      </c>
      <c r="G2" s="89" t="s">
        <v>33</v>
      </c>
      <c r="H2" s="87" t="s">
        <v>41</v>
      </c>
      <c r="I2" s="88" t="s">
        <v>42</v>
      </c>
      <c r="J2" s="89" t="s">
        <v>33</v>
      </c>
      <c r="K2" s="87" t="s">
        <v>41</v>
      </c>
      <c r="L2" s="88" t="s">
        <v>42</v>
      </c>
      <c r="M2" s="89" t="s">
        <v>33</v>
      </c>
      <c r="N2" s="82" t="s">
        <v>41</v>
      </c>
      <c r="O2" s="68" t="s">
        <v>42</v>
      </c>
      <c r="P2" s="52" t="s">
        <v>33</v>
      </c>
      <c r="Q2" s="68" t="s">
        <v>41</v>
      </c>
      <c r="R2" s="68" t="s">
        <v>42</v>
      </c>
      <c r="S2" s="52" t="s">
        <v>33</v>
      </c>
      <c r="T2" s="68" t="s">
        <v>41</v>
      </c>
      <c r="U2" s="68" t="s">
        <v>42</v>
      </c>
      <c r="V2" s="53" t="s">
        <v>33</v>
      </c>
      <c r="W2" s="68" t="s">
        <v>41</v>
      </c>
      <c r="X2" s="68" t="s">
        <v>42</v>
      </c>
      <c r="Y2" s="53" t="s">
        <v>33</v>
      </c>
    </row>
    <row r="3" spans="1:25" x14ac:dyDescent="0.3">
      <c r="A3" s="69" t="s">
        <v>49</v>
      </c>
      <c r="B3" s="90">
        <v>652</v>
      </c>
      <c r="C3" s="54">
        <v>133</v>
      </c>
      <c r="D3" s="91">
        <f>SUM(Tabla7[[#This Row],[Columna22]:[Columna21]])</f>
        <v>785</v>
      </c>
      <c r="E3" s="90">
        <v>735</v>
      </c>
      <c r="F3" s="54">
        <v>144</v>
      </c>
      <c r="G3" s="91">
        <f>SUM(Tabla7[[#This Row],[Columna19]:[Columna18]])</f>
        <v>879</v>
      </c>
      <c r="H3" s="90">
        <v>1386</v>
      </c>
      <c r="I3" s="54">
        <v>279</v>
      </c>
      <c r="J3" s="91">
        <f>SUM(Tabla7[[#This Row],[Columna16]:[Columna15]])</f>
        <v>1665</v>
      </c>
      <c r="K3" s="90">
        <v>1109</v>
      </c>
      <c r="L3" s="54">
        <v>182</v>
      </c>
      <c r="M3" s="91">
        <f>SUM(Tabla7[[#This Row],[Columna2]:[Columna3]])</f>
        <v>1291</v>
      </c>
      <c r="N3" s="83">
        <v>906</v>
      </c>
      <c r="O3" s="56">
        <v>198</v>
      </c>
      <c r="P3" s="57">
        <f>SUM(Tabla7[[#This Row],[Columna4]:[Columna5]])</f>
        <v>1104</v>
      </c>
      <c r="Q3" s="58">
        <v>1204</v>
      </c>
      <c r="R3" s="59">
        <v>277</v>
      </c>
      <c r="S3" s="55">
        <f>SUM(Tabla7[[#This Row],[Columna6]:[Columna7]])</f>
        <v>1481</v>
      </c>
      <c r="T3" s="58">
        <v>1144</v>
      </c>
      <c r="U3" s="59">
        <v>281</v>
      </c>
      <c r="V3" s="60">
        <f>SUM(Tabla7[[#This Row],[Columna8]:[Columna9]])</f>
        <v>1425</v>
      </c>
      <c r="W3" s="58">
        <v>1127</v>
      </c>
      <c r="X3" s="59">
        <v>326</v>
      </c>
      <c r="Y3" s="60">
        <f>+Tabla7[[#This Row],[Columna24]]+Tabla7[[#This Row],[Columna23]]</f>
        <v>1453</v>
      </c>
    </row>
    <row r="4" spans="1:25" x14ac:dyDescent="0.3">
      <c r="A4" s="70" t="s">
        <v>50</v>
      </c>
      <c r="B4" s="92">
        <v>1541</v>
      </c>
      <c r="C4" s="62">
        <v>285</v>
      </c>
      <c r="D4" s="91">
        <f>SUM(Tabla7[[#This Row],[Columna22]:[Columna21]])</f>
        <v>1826</v>
      </c>
      <c r="E4" s="92">
        <v>1592</v>
      </c>
      <c r="F4" s="62">
        <v>308</v>
      </c>
      <c r="G4" s="93">
        <f>SUM(Tabla7[[#This Row],[Columna19]:[Columna18]])</f>
        <v>1900</v>
      </c>
      <c r="H4" s="92">
        <v>2474</v>
      </c>
      <c r="I4" s="62">
        <v>483</v>
      </c>
      <c r="J4" s="91">
        <f>SUM(Tabla7[[#This Row],[Columna16]:[Columna15]])</f>
        <v>2957</v>
      </c>
      <c r="K4" s="92">
        <v>2122</v>
      </c>
      <c r="L4" s="62">
        <v>400</v>
      </c>
      <c r="M4" s="93">
        <f>SUM(Tabla7[[#This Row],[Columna2]:[Columna3]])</f>
        <v>2522</v>
      </c>
      <c r="N4" s="84">
        <v>1611</v>
      </c>
      <c r="O4" s="64">
        <v>297</v>
      </c>
      <c r="P4" s="65">
        <f>SUM(Tabla7[[#This Row],[Columna4]:[Columna5]])</f>
        <v>1908</v>
      </c>
      <c r="Q4" s="58">
        <v>1912</v>
      </c>
      <c r="R4" s="59">
        <v>422</v>
      </c>
      <c r="S4" s="63">
        <f>SUM(Tabla7[[#This Row],[Columna6]:[Columna7]])</f>
        <v>2334</v>
      </c>
      <c r="T4" s="58">
        <v>1882</v>
      </c>
      <c r="U4" s="59">
        <v>437</v>
      </c>
      <c r="V4" s="66">
        <f>SUM(Tabla7[[#This Row],[Columna8]:[Columna9]])</f>
        <v>2319</v>
      </c>
      <c r="W4" s="58">
        <v>1845</v>
      </c>
      <c r="X4" s="59">
        <v>492</v>
      </c>
      <c r="Y4" s="66">
        <f>+Tabla7[[#This Row],[Columna24]]+Tabla7[[#This Row],[Columna23]]</f>
        <v>2337</v>
      </c>
    </row>
    <row r="5" spans="1:25" x14ac:dyDescent="0.3">
      <c r="A5" s="70" t="s">
        <v>51</v>
      </c>
      <c r="B5" s="92">
        <v>2949</v>
      </c>
      <c r="C5" s="62">
        <v>364</v>
      </c>
      <c r="D5" s="91">
        <f>SUM(Tabla7[[#This Row],[Columna22]:[Columna21]])</f>
        <v>3313</v>
      </c>
      <c r="E5" s="92">
        <v>3374</v>
      </c>
      <c r="F5" s="62">
        <v>414</v>
      </c>
      <c r="G5" s="93">
        <f>SUM(Tabla7[[#This Row],[Columna19]:[Columna18]])</f>
        <v>3788</v>
      </c>
      <c r="H5" s="92">
        <v>5064</v>
      </c>
      <c r="I5" s="62">
        <v>786</v>
      </c>
      <c r="J5" s="91">
        <f>SUM(Tabla7[[#This Row],[Columna16]:[Columna15]])</f>
        <v>5850</v>
      </c>
      <c r="K5" s="92">
        <v>3983</v>
      </c>
      <c r="L5" s="62">
        <v>595</v>
      </c>
      <c r="M5" s="93">
        <f>SUM(Tabla7[[#This Row],[Columna2]:[Columna3]])</f>
        <v>4578</v>
      </c>
      <c r="N5" s="84">
        <v>2978</v>
      </c>
      <c r="O5" s="64">
        <v>485</v>
      </c>
      <c r="P5" s="65">
        <f>SUM(Tabla7[[#This Row],[Columna4]:[Columna5]])</f>
        <v>3463</v>
      </c>
      <c r="Q5" s="58">
        <v>3665</v>
      </c>
      <c r="R5" s="59">
        <v>639</v>
      </c>
      <c r="S5" s="63">
        <f>SUM(Tabla7[[#This Row],[Columna6]:[Columna7]])</f>
        <v>4304</v>
      </c>
      <c r="T5" s="58">
        <v>3474</v>
      </c>
      <c r="U5" s="59">
        <v>596</v>
      </c>
      <c r="V5" s="66">
        <f>SUM(Tabla7[[#This Row],[Columna8]:[Columna9]])</f>
        <v>4070</v>
      </c>
      <c r="W5" s="58">
        <v>3335</v>
      </c>
      <c r="X5" s="59">
        <v>648</v>
      </c>
      <c r="Y5" s="66">
        <f>+Tabla7[[#This Row],[Columna24]]+Tabla7[[#This Row],[Columna23]]</f>
        <v>3983</v>
      </c>
    </row>
    <row r="6" spans="1:25" x14ac:dyDescent="0.3">
      <c r="A6" s="70" t="s">
        <v>52</v>
      </c>
      <c r="B6" s="92">
        <v>3076</v>
      </c>
      <c r="C6" s="62">
        <v>282</v>
      </c>
      <c r="D6" s="91">
        <f>SUM(Tabla7[[#This Row],[Columna22]:[Columna21]])</f>
        <v>3358</v>
      </c>
      <c r="E6" s="92">
        <v>3649</v>
      </c>
      <c r="F6" s="62">
        <v>345</v>
      </c>
      <c r="G6" s="93">
        <f>SUM(Tabla7[[#This Row],[Columna19]:[Columna18]])</f>
        <v>3994</v>
      </c>
      <c r="H6" s="92">
        <v>5959</v>
      </c>
      <c r="I6" s="62">
        <v>685</v>
      </c>
      <c r="J6" s="91">
        <f>SUM(Tabla7[[#This Row],[Columna16]:[Columna15]])</f>
        <v>6644</v>
      </c>
      <c r="K6" s="92">
        <v>4820</v>
      </c>
      <c r="L6" s="62">
        <v>562</v>
      </c>
      <c r="M6" s="93">
        <f>SUM(Tabla7[[#This Row],[Columna2]:[Columna3]])</f>
        <v>5382</v>
      </c>
      <c r="N6" s="84">
        <v>3639</v>
      </c>
      <c r="O6" s="64">
        <v>433</v>
      </c>
      <c r="P6" s="65">
        <f>SUM(Tabla7[[#This Row],[Columna4]:[Columna5]])</f>
        <v>4072</v>
      </c>
      <c r="Q6" s="58">
        <v>5377</v>
      </c>
      <c r="R6" s="59">
        <v>677</v>
      </c>
      <c r="S6" s="63">
        <f>SUM(Tabla7[[#This Row],[Columna6]:[Columna7]])</f>
        <v>6054</v>
      </c>
      <c r="T6" s="58">
        <v>4666</v>
      </c>
      <c r="U6" s="59">
        <v>619</v>
      </c>
      <c r="V6" s="66">
        <f>SUM(Tabla7[[#This Row],[Columna8]:[Columna9]])</f>
        <v>5285</v>
      </c>
      <c r="W6" s="58">
        <v>4723</v>
      </c>
      <c r="X6" s="59">
        <v>683</v>
      </c>
      <c r="Y6" s="66">
        <f>+Tabla7[[#This Row],[Columna24]]+Tabla7[[#This Row],[Columna23]]</f>
        <v>5406</v>
      </c>
    </row>
    <row r="7" spans="1:25" x14ac:dyDescent="0.3">
      <c r="A7" s="70" t="s">
        <v>53</v>
      </c>
      <c r="B7" s="92">
        <v>1898</v>
      </c>
      <c r="C7" s="62">
        <v>153</v>
      </c>
      <c r="D7" s="91">
        <f>SUM(Tabla7[[#This Row],[Columna22]:[Columna21]])</f>
        <v>2051</v>
      </c>
      <c r="E7" s="92">
        <v>2373</v>
      </c>
      <c r="F7" s="62">
        <v>204</v>
      </c>
      <c r="G7" s="93">
        <f>SUM(Tabla7[[#This Row],[Columna19]:[Columna18]])</f>
        <v>2577</v>
      </c>
      <c r="H7" s="92">
        <v>4007</v>
      </c>
      <c r="I7" s="62">
        <v>417</v>
      </c>
      <c r="J7" s="91">
        <f>SUM(Tabla7[[#This Row],[Columna16]:[Columna15]])</f>
        <v>4424</v>
      </c>
      <c r="K7" s="92">
        <v>3360</v>
      </c>
      <c r="L7" s="62">
        <v>370</v>
      </c>
      <c r="M7" s="93">
        <f>SUM(Tabla7[[#This Row],[Columna2]:[Columna3]])</f>
        <v>3730</v>
      </c>
      <c r="N7" s="84">
        <v>2537</v>
      </c>
      <c r="O7" s="64">
        <v>295</v>
      </c>
      <c r="P7" s="65">
        <f>SUM(Tabla7[[#This Row],[Columna4]:[Columna5]])</f>
        <v>2832</v>
      </c>
      <c r="Q7" s="58">
        <v>4649</v>
      </c>
      <c r="R7" s="59">
        <v>572</v>
      </c>
      <c r="S7" s="63">
        <f>SUM(Tabla7[[#This Row],[Columna6]:[Columna7]])</f>
        <v>5221</v>
      </c>
      <c r="T7" s="58">
        <v>4050</v>
      </c>
      <c r="U7" s="59">
        <v>553</v>
      </c>
      <c r="V7" s="66">
        <f>SUM(Tabla7[[#This Row],[Columna8]:[Columna9]])</f>
        <v>4603</v>
      </c>
      <c r="W7" s="58">
        <v>4327</v>
      </c>
      <c r="X7" s="59">
        <v>633</v>
      </c>
      <c r="Y7" s="66">
        <f>+Tabla7[[#This Row],[Columna24]]+Tabla7[[#This Row],[Columna23]]</f>
        <v>4960</v>
      </c>
    </row>
    <row r="8" spans="1:25" x14ac:dyDescent="0.3">
      <c r="A8" s="70" t="s">
        <v>54</v>
      </c>
      <c r="B8" s="92">
        <v>843</v>
      </c>
      <c r="C8" s="62">
        <v>66</v>
      </c>
      <c r="D8" s="91">
        <f>SUM(Tabla7[[#This Row],[Columna22]:[Columna21]])</f>
        <v>909</v>
      </c>
      <c r="E8" s="92">
        <v>1084</v>
      </c>
      <c r="F8" s="62">
        <v>84</v>
      </c>
      <c r="G8" s="93">
        <f>SUM(Tabla7[[#This Row],[Columna19]:[Columna18]])</f>
        <v>1168</v>
      </c>
      <c r="H8" s="92">
        <v>2011</v>
      </c>
      <c r="I8" s="62">
        <v>174</v>
      </c>
      <c r="J8" s="91">
        <f>SUM(Tabla7[[#This Row],[Columna16]:[Columna15]])</f>
        <v>2185</v>
      </c>
      <c r="K8" s="92">
        <v>1626</v>
      </c>
      <c r="L8" s="62">
        <v>165</v>
      </c>
      <c r="M8" s="93">
        <f>SUM(Tabla7[[#This Row],[Columna2]:[Columna3]])</f>
        <v>1791</v>
      </c>
      <c r="N8" s="84">
        <v>1276</v>
      </c>
      <c r="O8" s="64">
        <v>159</v>
      </c>
      <c r="P8" s="65">
        <f>SUM(Tabla7[[#This Row],[Columna4]:[Columna5]])</f>
        <v>1435</v>
      </c>
      <c r="Q8" s="58">
        <v>2543</v>
      </c>
      <c r="R8" s="59">
        <v>321</v>
      </c>
      <c r="S8" s="63">
        <f>SUM(Tabla7[[#This Row],[Columna6]:[Columna7]])</f>
        <v>2864</v>
      </c>
      <c r="T8" s="58">
        <v>2203</v>
      </c>
      <c r="U8" s="59">
        <v>284</v>
      </c>
      <c r="V8" s="67">
        <f>SUM(Tabla7[[#This Row],[Columna8]:[Columna9]])</f>
        <v>2487</v>
      </c>
      <c r="W8" s="58">
        <v>2604</v>
      </c>
      <c r="X8" s="59">
        <v>350</v>
      </c>
      <c r="Y8" s="67">
        <f>+Tabla7[[#This Row],[Columna24]]+Tabla7[[#This Row],[Columna23]]</f>
        <v>2954</v>
      </c>
    </row>
    <row r="9" spans="1:25" x14ac:dyDescent="0.3">
      <c r="A9" s="70" t="s">
        <v>55</v>
      </c>
      <c r="B9" s="92">
        <v>384</v>
      </c>
      <c r="C9" s="62">
        <v>21</v>
      </c>
      <c r="D9" s="91">
        <f>SUM(Tabla7[[#This Row],[Columna22]:[Columna21]])</f>
        <v>405</v>
      </c>
      <c r="E9" s="92">
        <v>457</v>
      </c>
      <c r="F9" s="62">
        <v>30</v>
      </c>
      <c r="G9" s="93">
        <f>SUM(Tabla7[[#This Row],[Columna19]:[Columna18]])</f>
        <v>487</v>
      </c>
      <c r="H9" s="92">
        <v>811</v>
      </c>
      <c r="I9" s="62">
        <v>65</v>
      </c>
      <c r="J9" s="91">
        <f>SUM(Tabla7[[#This Row],[Columna16]:[Columna15]])</f>
        <v>876</v>
      </c>
      <c r="K9" s="92">
        <v>685</v>
      </c>
      <c r="L9" s="62">
        <v>62</v>
      </c>
      <c r="M9" s="93">
        <f>SUM(Tabla7[[#This Row],[Columna2]:[Columna3]])</f>
        <v>747</v>
      </c>
      <c r="N9" s="84">
        <v>551</v>
      </c>
      <c r="O9" s="64">
        <v>54</v>
      </c>
      <c r="P9" s="65">
        <f>SUM(Tabla7[[#This Row],[Columna4]:[Columna5]])</f>
        <v>605</v>
      </c>
      <c r="Q9" s="58">
        <v>1157</v>
      </c>
      <c r="R9" s="59">
        <v>109</v>
      </c>
      <c r="S9" s="63">
        <f>SUM(Tabla7[[#This Row],[Columna6]:[Columna7]])</f>
        <v>1266</v>
      </c>
      <c r="T9" s="58">
        <v>1004</v>
      </c>
      <c r="U9" s="59">
        <v>95</v>
      </c>
      <c r="V9" s="66">
        <f>SUM(Tabla7[[#This Row],[Columna8]:[Columna9]])</f>
        <v>1099</v>
      </c>
      <c r="W9" s="58">
        <v>1177</v>
      </c>
      <c r="X9" s="59">
        <v>130</v>
      </c>
      <c r="Y9" s="66">
        <f>+Tabla7[[#This Row],[Columna24]]+Tabla7[[#This Row],[Columna23]]</f>
        <v>1307</v>
      </c>
    </row>
    <row r="10" spans="1:25" x14ac:dyDescent="0.3">
      <c r="A10" s="70" t="s">
        <v>56</v>
      </c>
      <c r="B10" s="92">
        <v>113</v>
      </c>
      <c r="C10" s="62">
        <v>8</v>
      </c>
      <c r="D10" s="91">
        <f>SUM(Tabla7[[#This Row],[Columna22]:[Columna21]])</f>
        <v>121</v>
      </c>
      <c r="E10" s="92">
        <v>141</v>
      </c>
      <c r="F10" s="62">
        <v>11</v>
      </c>
      <c r="G10" s="93">
        <f>SUM(Tabla7[[#This Row],[Columna19]:[Columna18]])</f>
        <v>152</v>
      </c>
      <c r="H10" s="92">
        <v>263</v>
      </c>
      <c r="I10" s="62">
        <v>22</v>
      </c>
      <c r="J10" s="91">
        <f>SUM(Tabla7[[#This Row],[Columna16]:[Columna15]])</f>
        <v>285</v>
      </c>
      <c r="K10" s="92">
        <v>221</v>
      </c>
      <c r="L10" s="62">
        <v>14</v>
      </c>
      <c r="M10" s="93">
        <f>SUM(Tabla7[[#This Row],[Columna2]:[Columna3]])</f>
        <v>235</v>
      </c>
      <c r="N10" s="84">
        <v>217</v>
      </c>
      <c r="O10" s="64">
        <v>10</v>
      </c>
      <c r="P10" s="65">
        <f>SUM(Tabla7[[#This Row],[Columna4]:[Columna5]])</f>
        <v>227</v>
      </c>
      <c r="Q10" s="58">
        <v>425</v>
      </c>
      <c r="R10" s="59">
        <v>28</v>
      </c>
      <c r="S10" s="63">
        <f>SUM(Tabla7[[#This Row],[Columna6]:[Columna7]])</f>
        <v>453</v>
      </c>
      <c r="T10" s="58">
        <v>374</v>
      </c>
      <c r="U10" s="59">
        <v>25</v>
      </c>
      <c r="V10" s="66">
        <f>SUM(Tabla7[[#This Row],[Columna8]:[Columna9]])</f>
        <v>399</v>
      </c>
      <c r="W10" s="58">
        <v>436</v>
      </c>
      <c r="X10" s="59">
        <v>40</v>
      </c>
      <c r="Y10" s="66">
        <f>+Tabla7[[#This Row],[Columna24]]+Tabla7[[#This Row],[Columna23]]</f>
        <v>476</v>
      </c>
    </row>
    <row r="11" spans="1:25" x14ac:dyDescent="0.3">
      <c r="A11" s="70" t="s">
        <v>57</v>
      </c>
      <c r="B11" s="92">
        <v>59</v>
      </c>
      <c r="C11" s="62">
        <v>2</v>
      </c>
      <c r="D11" s="91">
        <f>SUM(Tabla7[[#This Row],[Columna22]:[Columna21]])</f>
        <v>61</v>
      </c>
      <c r="E11" s="92">
        <v>65</v>
      </c>
      <c r="F11" s="62">
        <v>2</v>
      </c>
      <c r="G11" s="93">
        <f>SUM(Tabla7[[#This Row],[Columna19]:[Columna18]])</f>
        <v>67</v>
      </c>
      <c r="H11" s="92">
        <v>114</v>
      </c>
      <c r="I11" s="62">
        <v>5</v>
      </c>
      <c r="J11" s="91">
        <f>SUM(Tabla7[[#This Row],[Columna16]:[Columna15]])</f>
        <v>119</v>
      </c>
      <c r="K11" s="92">
        <v>76</v>
      </c>
      <c r="L11" s="62">
        <v>4</v>
      </c>
      <c r="M11" s="93">
        <f>SUM(Tabla7[[#This Row],[Columna2]:[Columna3]])</f>
        <v>80</v>
      </c>
      <c r="N11" s="84">
        <v>57</v>
      </c>
      <c r="O11" s="64">
        <v>7</v>
      </c>
      <c r="P11" s="65">
        <f>SUM(Tabla7[[#This Row],[Columna4]:[Columna5]])</f>
        <v>64</v>
      </c>
      <c r="Q11" s="58">
        <v>132</v>
      </c>
      <c r="R11" s="59">
        <v>11</v>
      </c>
      <c r="S11" s="63">
        <f>SUM(Tabla7[[#This Row],[Columna6]:[Columna7]])</f>
        <v>143</v>
      </c>
      <c r="T11" s="58">
        <v>118</v>
      </c>
      <c r="U11" s="59">
        <v>5</v>
      </c>
      <c r="V11" s="66">
        <f>SUM(Tabla7[[#This Row],[Columna8]:[Columna9]])</f>
        <v>123</v>
      </c>
      <c r="W11" s="58">
        <v>156</v>
      </c>
      <c r="X11" s="59">
        <v>8</v>
      </c>
      <c r="Y11" s="66">
        <f>+Tabla7[[#This Row],[Columna24]]+Tabla7[[#This Row],[Columna23]]</f>
        <v>164</v>
      </c>
    </row>
    <row r="12" spans="1:25" x14ac:dyDescent="0.3">
      <c r="A12" s="70" t="s">
        <v>58</v>
      </c>
      <c r="B12" s="92">
        <v>14</v>
      </c>
      <c r="C12" s="62">
        <v>0</v>
      </c>
      <c r="D12" s="91">
        <f>SUM(Tabla7[[#This Row],[Columna22]:[Columna21]])</f>
        <v>14</v>
      </c>
      <c r="E12" s="92">
        <v>26</v>
      </c>
      <c r="F12" s="62">
        <v>1</v>
      </c>
      <c r="G12" s="93">
        <f>SUM(Tabla7[[#This Row],[Columna19]:[Columna18]])</f>
        <v>27</v>
      </c>
      <c r="H12" s="92">
        <v>39</v>
      </c>
      <c r="I12" s="62">
        <v>2</v>
      </c>
      <c r="J12" s="91">
        <f>SUM(Tabla7[[#This Row],[Columna16]:[Columna15]])</f>
        <v>41</v>
      </c>
      <c r="K12" s="92">
        <v>33</v>
      </c>
      <c r="L12" s="62">
        <v>2</v>
      </c>
      <c r="M12" s="93">
        <f>SUM(Tabla7[[#This Row],[Columna2]:[Columna3]])</f>
        <v>35</v>
      </c>
      <c r="N12" s="84">
        <v>27</v>
      </c>
      <c r="O12" s="64">
        <v>2</v>
      </c>
      <c r="P12" s="65">
        <f>SUM(Tabla7[[#This Row],[Columna4]:[Columna5]])</f>
        <v>29</v>
      </c>
      <c r="Q12" s="58">
        <v>51</v>
      </c>
      <c r="R12" s="59">
        <v>2</v>
      </c>
      <c r="S12" s="63">
        <f>SUM(Tabla7[[#This Row],[Columna6]:[Columna7]])</f>
        <v>53</v>
      </c>
      <c r="T12" s="58">
        <v>52</v>
      </c>
      <c r="U12" s="59">
        <v>2</v>
      </c>
      <c r="V12" s="66">
        <f>SUM(Tabla7[[#This Row],[Columna8]:[Columna9]])</f>
        <v>54</v>
      </c>
      <c r="W12" s="58">
        <v>52</v>
      </c>
      <c r="X12" s="59">
        <v>4</v>
      </c>
      <c r="Y12" s="66">
        <f>+Tabla7[[#This Row],[Columna24]]+Tabla7[[#This Row],[Columna23]]</f>
        <v>56</v>
      </c>
    </row>
    <row r="13" spans="1:25" x14ac:dyDescent="0.3">
      <c r="A13" s="70" t="s">
        <v>59</v>
      </c>
      <c r="B13" s="92">
        <v>5</v>
      </c>
      <c r="C13" s="62">
        <v>0</v>
      </c>
      <c r="D13" s="91">
        <f>SUM(Tabla7[[#This Row],[Columna22]:[Columna21]])</f>
        <v>5</v>
      </c>
      <c r="E13" s="92">
        <v>4</v>
      </c>
      <c r="F13" s="62">
        <v>0</v>
      </c>
      <c r="G13" s="93">
        <f>SUM(Tabla7[[#This Row],[Columna19]:[Columna18]])</f>
        <v>4</v>
      </c>
      <c r="H13" s="92">
        <v>11</v>
      </c>
      <c r="I13" s="62">
        <v>0</v>
      </c>
      <c r="J13" s="91">
        <f>SUM(Tabla7[[#This Row],[Columna16]:[Columna15]])</f>
        <v>11</v>
      </c>
      <c r="K13" s="92">
        <v>5</v>
      </c>
      <c r="L13" s="62">
        <v>0</v>
      </c>
      <c r="M13" s="93">
        <f>SUM(Tabla7[[#This Row],[Columna2]:[Columna3]])</f>
        <v>5</v>
      </c>
      <c r="N13" s="84">
        <v>9</v>
      </c>
      <c r="O13" s="62">
        <v>0</v>
      </c>
      <c r="P13" s="63">
        <f>SUM(Tabla7[[#This Row],[Columna4]:[Columna5]])</f>
        <v>9</v>
      </c>
      <c r="Q13" s="58">
        <v>26</v>
      </c>
      <c r="R13" s="59">
        <v>1</v>
      </c>
      <c r="S13" s="63">
        <f>SUM(Tabla7[[#This Row],[Columna6]:[Columna7]])</f>
        <v>27</v>
      </c>
      <c r="T13" s="58">
        <v>22</v>
      </c>
      <c r="U13" s="59">
        <v>1</v>
      </c>
      <c r="V13" s="66">
        <f>SUM(Tabla7[[#This Row],[Columna8]:[Columna9]])</f>
        <v>23</v>
      </c>
      <c r="W13" s="58">
        <v>19</v>
      </c>
      <c r="X13" s="59">
        <v>1</v>
      </c>
      <c r="Y13" s="66">
        <f>+Tabla7[[#This Row],[Columna24]]+Tabla7[[#This Row],[Columna23]]</f>
        <v>20</v>
      </c>
    </row>
    <row r="14" spans="1:25" x14ac:dyDescent="0.3">
      <c r="A14" s="70" t="s">
        <v>48</v>
      </c>
      <c r="B14" s="92">
        <v>0</v>
      </c>
      <c r="C14" s="62">
        <v>0</v>
      </c>
      <c r="D14" s="91">
        <f>SUM(Tabla7[[#This Row],[Columna22]:[Columna21]])</f>
        <v>0</v>
      </c>
      <c r="E14" s="92">
        <v>3</v>
      </c>
      <c r="F14" s="62">
        <v>0</v>
      </c>
      <c r="G14" s="93">
        <f>SUM(Tabla7[[#This Row],[Columna19]:[Columna18]])</f>
        <v>3</v>
      </c>
      <c r="H14" s="92">
        <v>3</v>
      </c>
      <c r="I14" s="62">
        <v>0</v>
      </c>
      <c r="J14" s="91">
        <f>SUM(Tabla7[[#This Row],[Columna16]:[Columna15]])</f>
        <v>3</v>
      </c>
      <c r="K14" s="92">
        <v>2</v>
      </c>
      <c r="L14" s="62">
        <v>0</v>
      </c>
      <c r="M14" s="93">
        <f>SUM(Tabla7[[#This Row],[Columna2]:[Columna3]])</f>
        <v>2</v>
      </c>
      <c r="N14" s="84">
        <v>1</v>
      </c>
      <c r="O14" s="62">
        <v>0</v>
      </c>
      <c r="P14" s="63">
        <f>SUM(Tabla7[[#This Row],[Columna4]:[Columna5]])</f>
        <v>1</v>
      </c>
      <c r="Q14" s="58">
        <v>0</v>
      </c>
      <c r="R14" s="59">
        <v>0</v>
      </c>
      <c r="S14" s="63">
        <f>SUM(Tabla7[[#This Row],[Columna6]:[Columna7]])</f>
        <v>0</v>
      </c>
      <c r="T14" s="58">
        <v>0</v>
      </c>
      <c r="U14" s="59">
        <v>0</v>
      </c>
      <c r="V14" s="66">
        <f>SUM(Tabla7[[#This Row],[Columna8]:[Columna9]])</f>
        <v>0</v>
      </c>
      <c r="W14" s="58">
        <v>5</v>
      </c>
      <c r="X14" s="59">
        <v>0</v>
      </c>
      <c r="Y14" s="66">
        <f>+Tabla7[[#This Row],[Columna24]]+Tabla7[[#This Row],[Columna23]]</f>
        <v>5</v>
      </c>
    </row>
    <row r="15" spans="1:25" x14ac:dyDescent="0.3">
      <c r="A15" s="70" t="s">
        <v>65</v>
      </c>
      <c r="B15" s="92">
        <v>0</v>
      </c>
      <c r="C15" s="62">
        <v>0</v>
      </c>
      <c r="D15" s="91">
        <f>SUM(Tabla7[[#This Row],[Columna22]:[Columna21]])</f>
        <v>0</v>
      </c>
      <c r="E15" s="92">
        <v>0</v>
      </c>
      <c r="F15" s="62">
        <v>0</v>
      </c>
      <c r="G15" s="93">
        <f>SUM(Tabla7[[#This Row],[Columna19]:[Columna18]])</f>
        <v>0</v>
      </c>
      <c r="H15" s="92">
        <v>0</v>
      </c>
      <c r="I15" s="62">
        <v>0</v>
      </c>
      <c r="J15" s="91">
        <f>SUM(Tabla7[[#This Row],[Columna16]:[Columna15]])</f>
        <v>0</v>
      </c>
      <c r="K15" s="92">
        <v>0</v>
      </c>
      <c r="L15" s="62">
        <v>0</v>
      </c>
      <c r="M15" s="93">
        <f>SUM(Tabla7[[#This Row],[Columna2]:[Columna3]])</f>
        <v>0</v>
      </c>
      <c r="N15" s="61">
        <v>3</v>
      </c>
      <c r="O15" s="62">
        <v>0</v>
      </c>
      <c r="P15" s="63">
        <f>SUM(Tabla7[[#This Row],[Columna4]:[Columna5]])</f>
        <v>3</v>
      </c>
      <c r="Q15" s="58">
        <v>3</v>
      </c>
      <c r="R15" s="59">
        <v>0</v>
      </c>
      <c r="S15" s="63">
        <f>SUM(Tabla7[[#This Row],[Columna6]:[Columna7]])</f>
        <v>3</v>
      </c>
      <c r="T15" s="58">
        <v>3</v>
      </c>
      <c r="U15" s="59">
        <v>0</v>
      </c>
      <c r="V15" s="66">
        <f>SUM(Tabla7[[#This Row],[Columna8]:[Columna9]])</f>
        <v>3</v>
      </c>
      <c r="W15" s="58">
        <v>1</v>
      </c>
      <c r="X15" s="59">
        <v>0</v>
      </c>
      <c r="Y15" s="66">
        <f>+Tabla7[[#This Row],[Columna24]]+Tabla7[[#This Row],[Columna23]]</f>
        <v>1</v>
      </c>
    </row>
    <row r="16" spans="1:25" x14ac:dyDescent="0.3">
      <c r="A16" s="70" t="s">
        <v>64</v>
      </c>
      <c r="B16" s="92">
        <v>0</v>
      </c>
      <c r="C16" s="62">
        <v>0</v>
      </c>
      <c r="D16" s="91">
        <f>SUM(Tabla7[[#This Row],[Columna22]:[Columna21]])</f>
        <v>0</v>
      </c>
      <c r="E16" s="92">
        <v>0</v>
      </c>
      <c r="F16" s="62">
        <v>0</v>
      </c>
      <c r="G16" s="93">
        <f>SUM(Tabla7[[#This Row],[Columna19]:[Columna18]])</f>
        <v>0</v>
      </c>
      <c r="H16" s="92">
        <v>0</v>
      </c>
      <c r="I16" s="62">
        <v>0</v>
      </c>
      <c r="J16" s="91">
        <f>SUM(Tabla7[[#This Row],[Columna16]:[Columna15]])</f>
        <v>0</v>
      </c>
      <c r="K16" s="92">
        <v>0</v>
      </c>
      <c r="L16" s="62">
        <v>0</v>
      </c>
      <c r="M16" s="93">
        <f>SUM(Tabla7[[#This Row],[Columna2]:[Columna3]])</f>
        <v>0</v>
      </c>
      <c r="N16" s="61">
        <v>0</v>
      </c>
      <c r="O16" s="62">
        <v>0</v>
      </c>
      <c r="P16" s="63">
        <f>SUM(Tabla7[[#This Row],[Columna4]:[Columna5]])</f>
        <v>0</v>
      </c>
      <c r="Q16" s="58">
        <v>0</v>
      </c>
      <c r="R16" s="59">
        <v>0</v>
      </c>
      <c r="S16" s="63">
        <f>SUM(Tabla7[[#This Row],[Columna6]:[Columna7]])</f>
        <v>0</v>
      </c>
      <c r="T16" s="58">
        <v>0</v>
      </c>
      <c r="U16" s="59">
        <v>0</v>
      </c>
      <c r="V16" s="66">
        <f>SUM(Tabla7[[#This Row],[Columna8]:[Columna9]])</f>
        <v>0</v>
      </c>
      <c r="W16" s="58">
        <v>0</v>
      </c>
      <c r="X16" s="59">
        <v>0</v>
      </c>
      <c r="Y16" s="66">
        <f>+Tabla7[[#This Row],[Columna24]]+Tabla7[[#This Row],[Columna23]]</f>
        <v>0</v>
      </c>
    </row>
    <row r="17" spans="1:25" x14ac:dyDescent="0.3">
      <c r="A17" s="70" t="s">
        <v>60</v>
      </c>
      <c r="B17" s="92">
        <v>214</v>
      </c>
      <c r="C17" s="62">
        <v>141</v>
      </c>
      <c r="D17" s="91">
        <f>SUM(Tabla7[[#This Row],[Columna22]:[Columna21]])</f>
        <v>355</v>
      </c>
      <c r="E17" s="92">
        <v>197</v>
      </c>
      <c r="F17" s="62">
        <v>128</v>
      </c>
      <c r="G17" s="93">
        <f>SUM(Tabla7[[#This Row],[Columna19]:[Columna18]])</f>
        <v>325</v>
      </c>
      <c r="H17" s="92">
        <v>439</v>
      </c>
      <c r="I17" s="62">
        <v>279</v>
      </c>
      <c r="J17" s="91">
        <f>SUM(Tabla7[[#This Row],[Columna16]:[Columna15]])</f>
        <v>718</v>
      </c>
      <c r="K17" s="92">
        <v>254</v>
      </c>
      <c r="L17" s="62">
        <v>193</v>
      </c>
      <c r="M17" s="93">
        <f>SUM(Tabla7[[#This Row],[Columna2]:[Columna3]])</f>
        <v>447</v>
      </c>
      <c r="N17" s="84">
        <v>303</v>
      </c>
      <c r="O17" s="64">
        <v>208</v>
      </c>
      <c r="P17" s="65">
        <f>SUM(Tabla7[[#This Row],[Columna4]:[Columna5]])</f>
        <v>511</v>
      </c>
      <c r="Q17" s="58">
        <v>438</v>
      </c>
      <c r="R17" s="59">
        <v>304</v>
      </c>
      <c r="S17" s="63">
        <f>SUM(Tabla7[[#This Row],[Columna6]:[Columna7]])</f>
        <v>742</v>
      </c>
      <c r="T17" s="58">
        <v>455</v>
      </c>
      <c r="U17" s="59">
        <v>309</v>
      </c>
      <c r="V17" s="66">
        <f>SUM(Tabla7[[#This Row],[Columna8]:[Columna9]])</f>
        <v>764</v>
      </c>
      <c r="W17" s="58">
        <v>676</v>
      </c>
      <c r="X17" s="59">
        <v>425</v>
      </c>
      <c r="Y17" s="66">
        <f>+Tabla7[[#This Row],[Columna24]]+Tabla7[[#This Row],[Columna23]]</f>
        <v>1101</v>
      </c>
    </row>
    <row r="18" spans="1:25" x14ac:dyDescent="0.3">
      <c r="A18" s="70" t="s">
        <v>61</v>
      </c>
      <c r="B18" s="92">
        <v>214</v>
      </c>
      <c r="C18" s="62">
        <v>131</v>
      </c>
      <c r="D18" s="91">
        <f>SUM(Tabla7[[#This Row],[Columna22]:[Columna21]])</f>
        <v>345</v>
      </c>
      <c r="E18" s="92">
        <v>149</v>
      </c>
      <c r="F18" s="62">
        <v>107</v>
      </c>
      <c r="G18" s="93">
        <f>SUM(Tabla7[[#This Row],[Columna19]:[Columna18]])</f>
        <v>256</v>
      </c>
      <c r="H18" s="92">
        <v>392</v>
      </c>
      <c r="I18" s="62">
        <v>245</v>
      </c>
      <c r="J18" s="91">
        <f>SUM(Tabla7[[#This Row],[Columna16]:[Columna15]])</f>
        <v>637</v>
      </c>
      <c r="K18" s="92">
        <v>248</v>
      </c>
      <c r="L18" s="62">
        <v>184</v>
      </c>
      <c r="M18" s="93">
        <f>SUM(Tabla7[[#This Row],[Columna2]:[Columna3]])</f>
        <v>432</v>
      </c>
      <c r="N18" s="84">
        <v>250</v>
      </c>
      <c r="O18" s="64">
        <v>165</v>
      </c>
      <c r="P18" s="65">
        <f>SUM(Tabla7[[#This Row],[Columna4]:[Columna5]])</f>
        <v>415</v>
      </c>
      <c r="Q18" s="58">
        <v>296</v>
      </c>
      <c r="R18" s="59">
        <v>203</v>
      </c>
      <c r="S18" s="63">
        <f>SUM(Tabla7[[#This Row],[Columna6]:[Columna7]])</f>
        <v>499</v>
      </c>
      <c r="T18" s="58">
        <v>421</v>
      </c>
      <c r="U18" s="59">
        <v>228</v>
      </c>
      <c r="V18" s="66">
        <f>SUM(Tabla7[[#This Row],[Columna8]:[Columna9]])</f>
        <v>649</v>
      </c>
      <c r="W18" s="58">
        <v>588</v>
      </c>
      <c r="X18" s="59">
        <v>382</v>
      </c>
      <c r="Y18" s="66">
        <f>+Tabla7[[#This Row],[Columna24]]+Tabla7[[#This Row],[Columna23]]</f>
        <v>970</v>
      </c>
    </row>
    <row r="19" spans="1:25" x14ac:dyDescent="0.3">
      <c r="A19" s="70" t="s">
        <v>35</v>
      </c>
      <c r="B19" s="92">
        <v>293</v>
      </c>
      <c r="C19" s="62">
        <v>106</v>
      </c>
      <c r="D19" s="91">
        <f>SUM(Tabla7[[#This Row],[Columna22]:[Columna21]])</f>
        <v>399</v>
      </c>
      <c r="E19" s="92">
        <v>323</v>
      </c>
      <c r="F19" s="62">
        <v>143</v>
      </c>
      <c r="G19" s="93">
        <f>SUM(Tabla7[[#This Row],[Columna19]:[Columna18]])</f>
        <v>466</v>
      </c>
      <c r="H19" s="92">
        <v>480</v>
      </c>
      <c r="I19" s="62">
        <v>238</v>
      </c>
      <c r="J19" s="91">
        <f>SUM(Tabla7[[#This Row],[Columna16]:[Columna15]])</f>
        <v>718</v>
      </c>
      <c r="K19" s="92">
        <v>368</v>
      </c>
      <c r="L19" s="62">
        <v>179</v>
      </c>
      <c r="M19" s="93">
        <f>SUM(Tabla7[[#This Row],[Columna2]:[Columna3]])</f>
        <v>547</v>
      </c>
      <c r="N19" s="84">
        <v>601</v>
      </c>
      <c r="O19" s="64">
        <v>271</v>
      </c>
      <c r="P19" s="65">
        <f>SUM(Tabla7[[#This Row],[Columna4]:[Columna5]])</f>
        <v>872</v>
      </c>
      <c r="Q19" s="58">
        <v>827</v>
      </c>
      <c r="R19" s="59">
        <v>402</v>
      </c>
      <c r="S19" s="63">
        <f>SUM(Tabla7[[#This Row],[Columna6]:[Columna7]])</f>
        <v>1229</v>
      </c>
      <c r="T19" s="58">
        <v>846</v>
      </c>
      <c r="U19" s="59">
        <v>391</v>
      </c>
      <c r="V19" s="66">
        <f>SUM(Tabla7[[#This Row],[Columna8]:[Columna9]])</f>
        <v>1237</v>
      </c>
      <c r="W19" s="58">
        <v>1048</v>
      </c>
      <c r="X19" s="59">
        <v>515</v>
      </c>
      <c r="Y19" s="66">
        <f>+Tabla7[[#This Row],[Columna24]]+Tabla7[[#This Row],[Columna23]]</f>
        <v>1563</v>
      </c>
    </row>
    <row r="20" spans="1:25" x14ac:dyDescent="0.3">
      <c r="A20" s="70" t="s">
        <v>62</v>
      </c>
      <c r="B20" s="92">
        <v>203</v>
      </c>
      <c r="C20" s="62">
        <v>101</v>
      </c>
      <c r="D20" s="91">
        <f>SUM(Tabla7[[#This Row],[Columna22]:[Columna21]])</f>
        <v>304</v>
      </c>
      <c r="E20" s="92">
        <v>204</v>
      </c>
      <c r="F20" s="62">
        <v>136</v>
      </c>
      <c r="G20" s="93">
        <f>SUM(Tabla7[[#This Row],[Columna19]:[Columna18]])</f>
        <v>340</v>
      </c>
      <c r="H20" s="92">
        <v>416</v>
      </c>
      <c r="I20" s="62">
        <v>251</v>
      </c>
      <c r="J20" s="91">
        <f>SUM(Tabla7[[#This Row],[Columna16]:[Columna15]])</f>
        <v>667</v>
      </c>
      <c r="K20" s="92">
        <v>269</v>
      </c>
      <c r="L20" s="62">
        <v>154</v>
      </c>
      <c r="M20" s="93">
        <f>SUM(Tabla7[[#This Row],[Columna2]:[Columna3]])</f>
        <v>423</v>
      </c>
      <c r="N20" s="84">
        <v>313</v>
      </c>
      <c r="O20" s="64">
        <v>210</v>
      </c>
      <c r="P20" s="65">
        <f>SUM(Tabla7[[#This Row],[Columna4]:[Columna5]])</f>
        <v>523</v>
      </c>
      <c r="Q20" s="58">
        <v>514</v>
      </c>
      <c r="R20" s="59">
        <v>334</v>
      </c>
      <c r="S20" s="63">
        <f>SUM(Tabla7[[#This Row],[Columna6]:[Columna7]])</f>
        <v>848</v>
      </c>
      <c r="T20" s="58">
        <v>508</v>
      </c>
      <c r="U20" s="59">
        <v>331</v>
      </c>
      <c r="V20" s="66">
        <f>SUM(Tabla7[[#This Row],[Columna8]:[Columna9]])</f>
        <v>839</v>
      </c>
      <c r="W20" s="58">
        <v>704</v>
      </c>
      <c r="X20" s="59">
        <v>519</v>
      </c>
      <c r="Y20" s="66">
        <f>+Tabla7[[#This Row],[Columna24]]+Tabla7[[#This Row],[Columna23]]</f>
        <v>1223</v>
      </c>
    </row>
    <row r="21" spans="1:25" x14ac:dyDescent="0.3">
      <c r="A21" s="70" t="s">
        <v>34</v>
      </c>
      <c r="B21" s="92">
        <v>411</v>
      </c>
      <c r="C21" s="62">
        <v>121</v>
      </c>
      <c r="D21" s="91">
        <f>SUM(Tabla7[[#This Row],[Columna22]:[Columna21]])</f>
        <v>532</v>
      </c>
      <c r="E21" s="92">
        <v>426</v>
      </c>
      <c r="F21" s="62">
        <v>107</v>
      </c>
      <c r="G21" s="93">
        <f>SUM(Tabla7[[#This Row],[Columna19]:[Columna18]])</f>
        <v>533</v>
      </c>
      <c r="H21" s="92">
        <v>824</v>
      </c>
      <c r="I21" s="62">
        <v>280</v>
      </c>
      <c r="J21" s="91">
        <f>SUM(Tabla7[[#This Row],[Columna16]:[Columna15]])</f>
        <v>1104</v>
      </c>
      <c r="K21" s="92">
        <v>589</v>
      </c>
      <c r="L21" s="62">
        <v>146</v>
      </c>
      <c r="M21" s="93">
        <f>SUM(Tabla7[[#This Row],[Columna2]:[Columna3]])</f>
        <v>735</v>
      </c>
      <c r="N21" s="84">
        <v>379</v>
      </c>
      <c r="O21" s="64">
        <v>86</v>
      </c>
      <c r="P21" s="65">
        <f>SUM(Tabla7[[#This Row],[Columna4]:[Columna5]])</f>
        <v>465</v>
      </c>
      <c r="Q21" s="58">
        <v>513</v>
      </c>
      <c r="R21" s="59">
        <v>179</v>
      </c>
      <c r="S21" s="63">
        <f>SUM(Tabla7[[#This Row],[Columna6]:[Columna7]])</f>
        <v>692</v>
      </c>
      <c r="T21" s="58">
        <v>398</v>
      </c>
      <c r="U21" s="59">
        <v>151</v>
      </c>
      <c r="V21" s="66">
        <f>SUM(Tabla7[[#This Row],[Columna8]:[Columna9]])</f>
        <v>549</v>
      </c>
      <c r="W21" s="58">
        <v>446</v>
      </c>
      <c r="X21" s="59">
        <v>149</v>
      </c>
      <c r="Y21" s="66">
        <f>+Tabla7[[#This Row],[Columna24]]+Tabla7[[#This Row],[Columna23]]</f>
        <v>595</v>
      </c>
    </row>
    <row r="22" spans="1:25" ht="16.2" thickBot="1" x14ac:dyDescent="0.35">
      <c r="A22" s="71" t="s">
        <v>63</v>
      </c>
      <c r="B22" s="94">
        <f>129+103</f>
        <v>232</v>
      </c>
      <c r="C22" s="77">
        <v>135</v>
      </c>
      <c r="D22" s="91">
        <f>SUM(Tabla7[[#This Row],[Columna22]:[Columna21]])</f>
        <v>367</v>
      </c>
      <c r="E22" s="94">
        <v>158</v>
      </c>
      <c r="F22" s="77">
        <v>93</v>
      </c>
      <c r="G22" s="95">
        <f>SUM(Tabla7[[#This Row],[Columna19]:[Columna18]])</f>
        <v>251</v>
      </c>
      <c r="H22" s="94">
        <v>472</v>
      </c>
      <c r="I22" s="77">
        <v>274</v>
      </c>
      <c r="J22" s="91">
        <f>SUM(Tabla7[[#This Row],[Columna16]:[Columna15]])</f>
        <v>746</v>
      </c>
      <c r="K22" s="94">
        <v>174</v>
      </c>
      <c r="L22" s="77">
        <v>101</v>
      </c>
      <c r="M22" s="95">
        <f>SUM(Tabla7[[#This Row],[Columna2]:[Columna3]])</f>
        <v>275</v>
      </c>
      <c r="N22" s="85">
        <v>138</v>
      </c>
      <c r="O22" s="78">
        <v>97</v>
      </c>
      <c r="P22" s="73">
        <f>SUM(Tabla7[[#This Row],[Columna4]:[Columna5]])</f>
        <v>235</v>
      </c>
      <c r="Q22" s="58">
        <v>124</v>
      </c>
      <c r="R22" s="59">
        <v>62</v>
      </c>
      <c r="S22" s="72">
        <f>SUM(Tabla7[[#This Row],[Columna6]:[Columna7]])</f>
        <v>186</v>
      </c>
      <c r="T22" s="58">
        <v>323</v>
      </c>
      <c r="U22" s="59">
        <v>144</v>
      </c>
      <c r="V22" s="74">
        <f>SUM(Tabla7[[#This Row],[Columna8]:[Columna9]])</f>
        <v>467</v>
      </c>
      <c r="W22" s="58">
        <v>417</v>
      </c>
      <c r="X22" s="59">
        <v>231</v>
      </c>
      <c r="Y22" s="74">
        <f>+Tabla7[[#This Row],[Columna24]]+Tabla7[[#This Row],[Columna23]]</f>
        <v>648</v>
      </c>
    </row>
    <row r="23" spans="1:25" ht="18" thickBot="1" x14ac:dyDescent="0.35">
      <c r="A23" s="81" t="s">
        <v>33</v>
      </c>
      <c r="B23" s="79">
        <f>SUBTOTAL(109,Tabla7[[#All],[Columna22]])</f>
        <v>13101</v>
      </c>
      <c r="C23" s="80">
        <f>SUBTOTAL(109,Tabla7[[#All],[Columna21]])</f>
        <v>2049</v>
      </c>
      <c r="D23" s="75">
        <f>SUBTOTAL(109,Tabla7[[#All],[Columna20]])</f>
        <v>15150</v>
      </c>
      <c r="E23" s="79">
        <f>SUBTOTAL(109,Tabla7[[#All],[Columna19]])</f>
        <v>14960</v>
      </c>
      <c r="F23" s="80">
        <f>SUBTOTAL(109,Tabla7[[#All],[Columna18]])</f>
        <v>2257</v>
      </c>
      <c r="G23" s="75">
        <f>SUBTOTAL(109,Tabla7[[#All],[Columna17]])</f>
        <v>17217</v>
      </c>
      <c r="H23" s="79">
        <f>SUBTOTAL(109,Tabla7[[#All],[Columna16]])</f>
        <v>25165</v>
      </c>
      <c r="I23" s="80">
        <f>SUBTOTAL(109,Tabla7[[#All],[Columna15]])</f>
        <v>4485</v>
      </c>
      <c r="J23" s="75">
        <f>SUBTOTAL(109,Tabla7[[#All],[Columna14]])</f>
        <v>29650</v>
      </c>
      <c r="K23" s="79">
        <f>SUBTOTAL(109,Tabla7[[#All],[Columna2]])</f>
        <v>19944</v>
      </c>
      <c r="L23" s="80">
        <f>SUBTOTAL(109,Tabla7[[#All],[Columna3]])</f>
        <v>3313</v>
      </c>
      <c r="M23" s="75">
        <f>SUBTOTAL(109,Tabla7[[#All],[Columna12]])</f>
        <v>23257</v>
      </c>
      <c r="N23" s="86">
        <f>SUBTOTAL(109,Tabla7[[#All],[Columna4]])</f>
        <v>15796</v>
      </c>
      <c r="O23" s="80">
        <f>SUBTOTAL(109,Tabla7[[#All],[Columna5]])</f>
        <v>2977</v>
      </c>
      <c r="P23" s="76">
        <f>SUBTOTAL(109,Tabla7[[#All],[Columna11]])</f>
        <v>18773</v>
      </c>
      <c r="Q23" s="79">
        <f>SUBTOTAL(109,Tabla7[[#All],[Columna6]])</f>
        <v>23856</v>
      </c>
      <c r="R23" s="80">
        <f>SUBTOTAL(109,Tabla7[[#All],[Columna7]])</f>
        <v>4543</v>
      </c>
      <c r="S23" s="76">
        <f>SUBTOTAL(109,Tabla7[[#All],[Columna10]])</f>
        <v>28399</v>
      </c>
      <c r="T23" s="79">
        <f>SUBTOTAL(109,Tabla7[[#All],[Columna8]])</f>
        <v>21943</v>
      </c>
      <c r="U23" s="80">
        <f>SUBTOTAL(109,Tabla7[[#All],[Columna9]])</f>
        <v>4452</v>
      </c>
      <c r="V23" s="75">
        <f>SUBTOTAL(109,Tabla7[[#All],[Columna13]])</f>
        <v>26395</v>
      </c>
      <c r="W23" s="79">
        <f>SUBTOTAL(109,Tabla7[[#All],[Columna23]])</f>
        <v>23686</v>
      </c>
      <c r="X23" s="80">
        <f>SUBTOTAL(109,Tabla7[[#All],[Columna24]])</f>
        <v>5536</v>
      </c>
      <c r="Y23" s="75">
        <f>SUBTOTAL(109,Tabla7[[#All],[Columna25]])</f>
        <v>29222</v>
      </c>
    </row>
  </sheetData>
  <sortState ref="A4:C16">
    <sortCondition ref="A3:A15"/>
  </sortState>
  <mergeCells count="9">
    <mergeCell ref="W1:Y1"/>
    <mergeCell ref="A1:A2"/>
    <mergeCell ref="K1:M1"/>
    <mergeCell ref="N1:P1"/>
    <mergeCell ref="Q1:S1"/>
    <mergeCell ref="T1:V1"/>
    <mergeCell ref="H1:J1"/>
    <mergeCell ref="E1:G1"/>
    <mergeCell ref="B1:D1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Evolución %</vt:lpstr>
      <vt:lpstr>2. M_F TOTALES</vt:lpstr>
      <vt:lpstr>3.M_F_CCAA </vt:lpstr>
      <vt:lpstr>3.M_F_CCAA D+T+O</vt:lpstr>
      <vt:lpstr>5.CLUBES</vt:lpstr>
      <vt:lpstr>6.GGEE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Lopez</dc:creator>
  <cp:lastModifiedBy>FETRI</cp:lastModifiedBy>
  <cp:lastPrinted>2018-10-10T10:37:03Z</cp:lastPrinted>
  <dcterms:created xsi:type="dcterms:W3CDTF">2013-02-13T11:49:19Z</dcterms:created>
  <dcterms:modified xsi:type="dcterms:W3CDTF">2018-11-08T15:50:35Z</dcterms:modified>
</cp:coreProperties>
</file>